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8070"/>
  </bookViews>
  <sheets>
    <sheet name="Directions" sheetId="21" r:id="rId1"/>
    <sheet name="Master mixes" sheetId="10" r:id="rId2"/>
    <sheet name="Plate layout" sheetId="12" r:id="rId3"/>
    <sheet name="For software" sheetId="14" r:id="rId4"/>
    <sheet name="Raw qPCR data" sheetId="1" r:id="rId5"/>
    <sheet name="Sample 1" sheetId="2" r:id="rId6"/>
    <sheet name="Sample 2" sheetId="15" r:id="rId7"/>
    <sheet name="Sample 3" sheetId="16" r:id="rId8"/>
    <sheet name="Sample 4" sheetId="17" r:id="rId9"/>
    <sheet name="Sample 5" sheetId="18" r:id="rId10"/>
    <sheet name="Sample 6" sheetId="20" r:id="rId11"/>
    <sheet name="Sample 7" sheetId="19" r:id="rId12"/>
  </sheets>
  <definedNames>
    <definedName name="_xlnm.Print_Area" localSheetId="3">'For software'!#REF!</definedName>
  </definedNames>
  <calcPr calcId="145621"/>
</workbook>
</file>

<file path=xl/calcChain.xml><?xml version="1.0" encoding="utf-8"?>
<calcChain xmlns="http://schemas.openxmlformats.org/spreadsheetml/2006/main">
  <c r="H14" i="2" l="1"/>
  <c r="B30" i="10" l="1"/>
  <c r="F30" i="10" l="1"/>
  <c r="B14" i="14"/>
  <c r="D1" i="19" l="1"/>
  <c r="D1" i="20"/>
  <c r="D1" i="18"/>
  <c r="D1" i="17"/>
  <c r="D1" i="16"/>
  <c r="D1" i="15"/>
  <c r="C15" i="2"/>
  <c r="C16" i="2"/>
  <c r="C14" i="2"/>
  <c r="C20" i="2"/>
  <c r="C21" i="2"/>
  <c r="C19" i="2"/>
  <c r="C10" i="2"/>
  <c r="C11" i="2"/>
  <c r="C9" i="2"/>
  <c r="C5" i="2"/>
  <c r="C6" i="2"/>
  <c r="C4" i="2"/>
  <c r="D1" i="2"/>
  <c r="B97" i="14"/>
  <c r="A97" i="14"/>
  <c r="B96" i="14"/>
  <c r="A96" i="14"/>
  <c r="B85" i="14"/>
  <c r="A85" i="14"/>
  <c r="B84" i="14"/>
  <c r="A84" i="14"/>
  <c r="B73" i="14"/>
  <c r="A73" i="14"/>
  <c r="B72" i="14"/>
  <c r="A72" i="14"/>
  <c r="B61" i="14"/>
  <c r="A61" i="14"/>
  <c r="B60" i="14"/>
  <c r="A60" i="14"/>
  <c r="D5" i="2" l="1"/>
  <c r="D10" i="2"/>
  <c r="D11" i="2"/>
  <c r="B9" i="10"/>
  <c r="E7" i="12"/>
  <c r="E6" i="12"/>
  <c r="E5" i="12"/>
  <c r="E4" i="12"/>
  <c r="D7" i="12"/>
  <c r="D6" i="12"/>
  <c r="D5" i="12"/>
  <c r="D4" i="12"/>
  <c r="C7" i="12"/>
  <c r="C6" i="12"/>
  <c r="C5" i="12"/>
  <c r="C4" i="12"/>
  <c r="C1" i="12"/>
  <c r="F23" i="10" l="1"/>
  <c r="F24" i="10" s="1"/>
  <c r="C4" i="20"/>
  <c r="C15" i="17"/>
  <c r="C14" i="18"/>
  <c r="C4" i="18"/>
  <c r="C14" i="17"/>
  <c r="C4" i="17"/>
  <c r="C15" i="19"/>
  <c r="C19" i="19"/>
  <c r="C14" i="19"/>
  <c r="C9" i="19"/>
  <c r="C4" i="19"/>
  <c r="C20" i="20"/>
  <c r="C15" i="20"/>
  <c r="C10" i="20"/>
  <c r="C5" i="20"/>
  <c r="C21" i="18"/>
  <c r="C16" i="18"/>
  <c r="C11" i="18"/>
  <c r="C6" i="18"/>
  <c r="C21" i="17"/>
  <c r="C16" i="17"/>
  <c r="C11" i="17"/>
  <c r="C6" i="17"/>
  <c r="C19" i="20"/>
  <c r="C14" i="20"/>
  <c r="C9" i="20"/>
  <c r="C20" i="18"/>
  <c r="C15" i="18"/>
  <c r="C10" i="18"/>
  <c r="C5" i="18"/>
  <c r="C20" i="17"/>
  <c r="C10" i="17"/>
  <c r="C5" i="17"/>
  <c r="C21" i="19"/>
  <c r="C16" i="19"/>
  <c r="D16" i="19" s="1"/>
  <c r="C11" i="19"/>
  <c r="C6" i="19"/>
  <c r="C19" i="18"/>
  <c r="C9" i="18"/>
  <c r="C19" i="17"/>
  <c r="C9" i="17"/>
  <c r="C20" i="19"/>
  <c r="C10" i="19"/>
  <c r="C5" i="19"/>
  <c r="C21" i="20"/>
  <c r="C16" i="20"/>
  <c r="C11" i="20"/>
  <c r="C6" i="20"/>
  <c r="C16" i="16"/>
  <c r="C11" i="16"/>
  <c r="C6" i="16"/>
  <c r="C21" i="16"/>
  <c r="C15" i="16"/>
  <c r="C10" i="16"/>
  <c r="C5" i="16"/>
  <c r="C20" i="16"/>
  <c r="C14" i="16"/>
  <c r="C9" i="16"/>
  <c r="C4" i="16"/>
  <c r="C19" i="16"/>
  <c r="C21" i="15"/>
  <c r="C9" i="15"/>
  <c r="C5" i="15"/>
  <c r="C14" i="15"/>
  <c r="C4" i="15"/>
  <c r="C20" i="15"/>
  <c r="C6" i="15"/>
  <c r="C10" i="15"/>
  <c r="C15" i="15"/>
  <c r="C19" i="15"/>
  <c r="C11" i="15"/>
  <c r="C16" i="15"/>
  <c r="F34" i="10"/>
  <c r="F35" i="10" s="1"/>
  <c r="B4" i="14"/>
  <c r="A4" i="14"/>
  <c r="B15" i="14"/>
  <c r="A15" i="14"/>
  <c r="B26" i="14"/>
  <c r="A26" i="14"/>
  <c r="B27" i="14"/>
  <c r="A27" i="14"/>
  <c r="B28" i="14"/>
  <c r="A28" i="14"/>
  <c r="B2" i="14"/>
  <c r="A2" i="14"/>
  <c r="A3" i="14"/>
  <c r="B3" i="14"/>
  <c r="A14" i="14"/>
  <c r="B16" i="14"/>
  <c r="A16" i="14"/>
  <c r="B38" i="14"/>
  <c r="A38" i="14"/>
  <c r="B39" i="14"/>
  <c r="A39" i="14"/>
  <c r="B40" i="14"/>
  <c r="A40" i="14"/>
  <c r="L11" i="12"/>
  <c r="L10" i="12"/>
  <c r="L9" i="12"/>
  <c r="L8" i="12"/>
  <c r="F1" i="12"/>
  <c r="L1" i="12"/>
  <c r="I1" i="12"/>
  <c r="C13" i="12"/>
  <c r="C12" i="12" s="1"/>
  <c r="L13" i="12"/>
  <c r="I13" i="12"/>
  <c r="F13" i="12"/>
  <c r="F12" i="12" s="1"/>
  <c r="C9" i="12"/>
  <c r="L5" i="12"/>
  <c r="I5" i="12"/>
  <c r="F5" i="12"/>
  <c r="C10" i="12"/>
  <c r="L6" i="12"/>
  <c r="I6" i="12"/>
  <c r="F6" i="12"/>
  <c r="C8" i="12"/>
  <c r="L4" i="12"/>
  <c r="I4" i="12"/>
  <c r="F4" i="12"/>
  <c r="C11" i="12"/>
  <c r="L7" i="12"/>
  <c r="I7" i="12"/>
  <c r="F7" i="12"/>
  <c r="I8" i="12"/>
  <c r="F8" i="12"/>
  <c r="I11" i="12"/>
  <c r="F9" i="12"/>
  <c r="I10" i="12"/>
  <c r="F10" i="12"/>
  <c r="I9" i="12"/>
  <c r="F11" i="12"/>
  <c r="E8" i="12"/>
  <c r="E11" i="12"/>
  <c r="M4" i="12"/>
  <c r="B12" i="14" s="1"/>
  <c r="G9" i="12"/>
  <c r="J5" i="12"/>
  <c r="N5" i="12"/>
  <c r="H10" i="12"/>
  <c r="K4" i="12"/>
  <c r="D8" i="12"/>
  <c r="K5" i="12"/>
  <c r="M5" i="12"/>
  <c r="G10" i="12"/>
  <c r="J9" i="12"/>
  <c r="D11" i="12"/>
  <c r="J4" i="12"/>
  <c r="N4" i="12"/>
  <c r="H9" i="12"/>
  <c r="K9" i="12"/>
  <c r="D10" i="12"/>
  <c r="E10" i="12"/>
  <c r="J7" i="12"/>
  <c r="K7" i="12"/>
  <c r="M7" i="12"/>
  <c r="N7" i="12"/>
  <c r="G8" i="12"/>
  <c r="H8" i="12"/>
  <c r="J8" i="12"/>
  <c r="K8" i="12"/>
  <c r="J10" i="12"/>
  <c r="K10" i="12"/>
  <c r="D9" i="12"/>
  <c r="E9" i="12"/>
  <c r="J6" i="12"/>
  <c r="K6" i="12"/>
  <c r="M6" i="12"/>
  <c r="N6" i="12"/>
  <c r="G11" i="12"/>
  <c r="H11" i="12"/>
  <c r="J11" i="12"/>
  <c r="K11" i="12"/>
  <c r="A10" i="12"/>
  <c r="A8" i="12"/>
  <c r="A11" i="12"/>
  <c r="A9" i="12"/>
  <c r="H5" i="12"/>
  <c r="G6" i="12"/>
  <c r="H6" i="12"/>
  <c r="G4" i="12"/>
  <c r="H4" i="12"/>
  <c r="G5" i="12"/>
  <c r="G7" i="12"/>
  <c r="H7" i="12"/>
  <c r="F33" i="10"/>
  <c r="F16" i="10"/>
  <c r="F17" i="10"/>
  <c r="F18" i="10"/>
  <c r="F15" i="10"/>
  <c r="F20" i="10" s="1"/>
  <c r="F14" i="10"/>
  <c r="D11" i="20" l="1"/>
  <c r="D10" i="19"/>
  <c r="D20" i="18"/>
  <c r="D6" i="18"/>
  <c r="D6" i="17"/>
  <c r="D5" i="20"/>
  <c r="D15" i="19"/>
  <c r="D20" i="19"/>
  <c r="D5" i="18"/>
  <c r="D21" i="17"/>
  <c r="D21" i="20"/>
  <c r="D6" i="19"/>
  <c r="D16" i="18"/>
  <c r="D6" i="20"/>
  <c r="D5" i="19"/>
  <c r="D11" i="19"/>
  <c r="D15" i="18"/>
  <c r="D21" i="18"/>
  <c r="D20" i="20"/>
  <c r="D15" i="16"/>
  <c r="D21" i="19"/>
  <c r="D10" i="20"/>
  <c r="D11" i="18"/>
  <c r="D10" i="18"/>
  <c r="D16" i="20"/>
  <c r="D15" i="20"/>
  <c r="D20" i="16"/>
  <c r="D6" i="15"/>
  <c r="D6" i="16"/>
  <c r="D16" i="15"/>
  <c r="D11" i="15"/>
  <c r="D16" i="16"/>
  <c r="D15" i="17"/>
  <c r="D10" i="16"/>
  <c r="D15" i="15"/>
  <c r="D20" i="15"/>
  <c r="D21" i="16"/>
  <c r="D21" i="15"/>
  <c r="D20" i="17"/>
  <c r="D5" i="17"/>
  <c r="D5" i="16"/>
  <c r="D11" i="17"/>
  <c r="D10" i="15"/>
  <c r="D11" i="16"/>
  <c r="D10" i="17"/>
  <c r="D16" i="17"/>
  <c r="D5" i="15"/>
  <c r="B19" i="14"/>
  <c r="A19" i="14"/>
  <c r="B90" i="14"/>
  <c r="A90" i="14"/>
  <c r="B81" i="14"/>
  <c r="A81" i="14"/>
  <c r="B45" i="14"/>
  <c r="A45" i="14"/>
  <c r="B69" i="14"/>
  <c r="A69" i="14"/>
  <c r="B21" i="14"/>
  <c r="A21" i="14"/>
  <c r="B80" i="14"/>
  <c r="A80" i="14"/>
  <c r="B86" i="14"/>
  <c r="A86" i="14"/>
  <c r="A74" i="14"/>
  <c r="B74" i="14"/>
  <c r="A6" i="14"/>
  <c r="B6" i="14"/>
  <c r="A94" i="14"/>
  <c r="B94" i="14"/>
  <c r="A58" i="14"/>
  <c r="B58" i="14"/>
  <c r="B76" i="14"/>
  <c r="A76" i="14"/>
  <c r="A78" i="14"/>
  <c r="B78" i="14"/>
  <c r="A66" i="14"/>
  <c r="B66" i="14"/>
  <c r="B59" i="14"/>
  <c r="A59" i="14"/>
  <c r="B65" i="14"/>
  <c r="A65" i="14"/>
  <c r="B5" i="14"/>
  <c r="A5" i="14"/>
  <c r="B17" i="14"/>
  <c r="A17" i="14"/>
  <c r="B36" i="14"/>
  <c r="A36" i="14"/>
  <c r="B57" i="14"/>
  <c r="A57" i="14"/>
  <c r="B75" i="14"/>
  <c r="A75" i="14"/>
  <c r="A24" i="14"/>
  <c r="B24" i="14"/>
  <c r="B79" i="14"/>
  <c r="A79" i="14"/>
  <c r="A12" i="14"/>
  <c r="B83" i="14"/>
  <c r="A83" i="14"/>
  <c r="B68" i="14"/>
  <c r="A68" i="14"/>
  <c r="B92" i="14"/>
  <c r="A92" i="14"/>
  <c r="B44" i="14"/>
  <c r="A44" i="14"/>
  <c r="B8" i="14"/>
  <c r="A8" i="14"/>
  <c r="B32" i="14"/>
  <c r="A32" i="14"/>
  <c r="A20" i="14"/>
  <c r="B20" i="14"/>
  <c r="B7" i="14"/>
  <c r="A7" i="14"/>
  <c r="B33" i="14"/>
  <c r="A33" i="14"/>
  <c r="A54" i="14"/>
  <c r="B54" i="14"/>
  <c r="B67" i="14"/>
  <c r="A67" i="14"/>
  <c r="B51" i="14"/>
  <c r="A51" i="14"/>
  <c r="B52" i="14"/>
  <c r="A52" i="14"/>
  <c r="B95" i="14"/>
  <c r="A95" i="14"/>
  <c r="B56" i="14"/>
  <c r="A56" i="14"/>
  <c r="A50" i="14"/>
  <c r="B50" i="14"/>
  <c r="A62" i="14"/>
  <c r="B62" i="14"/>
  <c r="B43" i="14"/>
  <c r="A43" i="14"/>
  <c r="B37" i="14"/>
  <c r="A37" i="14"/>
  <c r="B64" i="14"/>
  <c r="A64" i="14"/>
  <c r="B49" i="14"/>
  <c r="A49" i="14"/>
  <c r="B13" i="14"/>
  <c r="A13" i="14"/>
  <c r="A10" i="14"/>
  <c r="B10" i="14"/>
  <c r="B89" i="14"/>
  <c r="A89" i="14"/>
  <c r="B41" i="14"/>
  <c r="A41" i="14"/>
  <c r="B29" i="14"/>
  <c r="A29" i="14"/>
  <c r="A42" i="14"/>
  <c r="B42" i="14"/>
  <c r="B31" i="14"/>
  <c r="A31" i="14"/>
  <c r="B93" i="14"/>
  <c r="A93" i="14"/>
  <c r="B63" i="14"/>
  <c r="A63" i="14"/>
  <c r="B48" i="14"/>
  <c r="A48" i="14"/>
  <c r="B9" i="14"/>
  <c r="A9" i="14"/>
  <c r="B18" i="14"/>
  <c r="A18" i="14"/>
  <c r="A30" i="14"/>
  <c r="B30" i="14"/>
  <c r="B91" i="14"/>
  <c r="A91" i="14"/>
  <c r="A34" i="14"/>
  <c r="B34" i="14"/>
  <c r="A82" i="14"/>
  <c r="B82" i="14"/>
  <c r="B55" i="14"/>
  <c r="A55" i="14"/>
  <c r="A46" i="14"/>
  <c r="B46" i="14"/>
  <c r="A70" i="14"/>
  <c r="B70" i="14"/>
  <c r="B87" i="14"/>
  <c r="A87" i="14"/>
  <c r="B22" i="14"/>
  <c r="A22" i="14"/>
  <c r="B25" i="14"/>
  <c r="A25" i="14"/>
  <c r="A88" i="14"/>
  <c r="B88" i="14"/>
  <c r="B71" i="14"/>
  <c r="A71" i="14"/>
  <c r="B77" i="14"/>
  <c r="A77" i="14"/>
  <c r="B53" i="14"/>
  <c r="A53" i="14"/>
  <c r="B47" i="14"/>
  <c r="A47" i="14"/>
  <c r="B11" i="14"/>
  <c r="A11" i="14"/>
  <c r="B35" i="14"/>
  <c r="A35" i="14"/>
  <c r="B23" i="14"/>
  <c r="A23" i="14"/>
  <c r="K2" i="12"/>
  <c r="I2" i="12"/>
  <c r="J2" i="12"/>
  <c r="E12" i="12"/>
  <c r="D12" i="12"/>
  <c r="K12" i="12"/>
  <c r="J12" i="12"/>
  <c r="I12" i="12"/>
  <c r="G12" i="12"/>
  <c r="H12" i="12"/>
  <c r="L2" i="12"/>
  <c r="N2" i="12"/>
  <c r="M2" i="12"/>
  <c r="F2" i="12"/>
  <c r="H2" i="12"/>
  <c r="G2" i="12"/>
  <c r="G18" i="10"/>
  <c r="G17" i="10"/>
  <c r="G16" i="10"/>
  <c r="G19" i="10"/>
  <c r="G14" i="10"/>
  <c r="F31" i="10"/>
  <c r="G31" i="10" s="1"/>
  <c r="G30" i="10"/>
  <c r="G20" i="10"/>
  <c r="F25" i="10" l="1"/>
  <c r="C22" i="19"/>
  <c r="E19" i="19" s="1"/>
  <c r="E20" i="19" s="1"/>
  <c r="E21" i="19" s="1"/>
  <c r="C12" i="19"/>
  <c r="E9" i="19" s="1"/>
  <c r="E10" i="19" s="1"/>
  <c r="E11" i="19" s="1"/>
  <c r="C17" i="20"/>
  <c r="E14" i="20" s="1"/>
  <c r="E15" i="20" s="1"/>
  <c r="E16" i="20" s="1"/>
  <c r="C7" i="20"/>
  <c r="E4" i="20" s="1"/>
  <c r="C12" i="18"/>
  <c r="E9" i="18" s="1"/>
  <c r="E10" i="18" s="1"/>
  <c r="E11" i="18" s="1"/>
  <c r="C17" i="17"/>
  <c r="E14" i="17" s="1"/>
  <c r="E15" i="17" s="1"/>
  <c r="E16" i="17" s="1"/>
  <c r="C7" i="17"/>
  <c r="E4" i="17" s="1"/>
  <c r="C17" i="19"/>
  <c r="E14" i="19" s="1"/>
  <c r="E15" i="19" s="1"/>
  <c r="E16" i="19" s="1"/>
  <c r="C7" i="19"/>
  <c r="E4" i="19" s="1"/>
  <c r="C22" i="20"/>
  <c r="E19" i="20" s="1"/>
  <c r="E20" i="20" s="1"/>
  <c r="E21" i="20" s="1"/>
  <c r="C12" i="20"/>
  <c r="E9" i="20" s="1"/>
  <c r="E10" i="20" s="1"/>
  <c r="E11" i="20" s="1"/>
  <c r="C22" i="18"/>
  <c r="E19" i="18" s="1"/>
  <c r="E20" i="18" s="1"/>
  <c r="E21" i="18" s="1"/>
  <c r="C17" i="18"/>
  <c r="E14" i="18" s="1"/>
  <c r="E15" i="18" s="1"/>
  <c r="E16" i="18" s="1"/>
  <c r="C7" i="18"/>
  <c r="E4" i="18" s="1"/>
  <c r="C22" i="17"/>
  <c r="E19" i="17" s="1"/>
  <c r="E20" i="17" s="1"/>
  <c r="E21" i="17" s="1"/>
  <c r="C12" i="17"/>
  <c r="E9" i="17" s="1"/>
  <c r="E10" i="17" s="1"/>
  <c r="E11" i="17" s="1"/>
  <c r="C17" i="16"/>
  <c r="E14" i="16" s="1"/>
  <c r="E15" i="16" s="1"/>
  <c r="E16" i="16" s="1"/>
  <c r="C22" i="16"/>
  <c r="E19" i="16" s="1"/>
  <c r="E20" i="16" s="1"/>
  <c r="E21" i="16" s="1"/>
  <c r="C22" i="2"/>
  <c r="C7" i="16"/>
  <c r="E4" i="16" s="1"/>
  <c r="C17" i="15"/>
  <c r="E14" i="15" s="1"/>
  <c r="E15" i="15" s="1"/>
  <c r="E16" i="15" s="1"/>
  <c r="C12" i="16"/>
  <c r="E9" i="16" s="1"/>
  <c r="E10" i="16" s="1"/>
  <c r="E11" i="16" s="1"/>
  <c r="C22" i="15"/>
  <c r="E19" i="15" s="1"/>
  <c r="E20" i="15" s="1"/>
  <c r="E21" i="15" s="1"/>
  <c r="C7" i="15"/>
  <c r="E4" i="15" s="1"/>
  <c r="C12" i="15"/>
  <c r="E9" i="15" s="1"/>
  <c r="E10" i="15" s="1"/>
  <c r="E11" i="15" s="1"/>
  <c r="C7" i="2"/>
  <c r="E4" i="2" s="1"/>
  <c r="C17" i="2"/>
  <c r="C12" i="2"/>
  <c r="F36" i="10"/>
  <c r="E5" i="20" l="1"/>
  <c r="H3" i="20"/>
  <c r="E5" i="18"/>
  <c r="H3" i="18"/>
  <c r="E5" i="19"/>
  <c r="H3" i="19"/>
  <c r="E5" i="16"/>
  <c r="H3" i="16"/>
  <c r="H3" i="17"/>
  <c r="E5" i="17"/>
  <c r="E5" i="15"/>
  <c r="H3" i="15"/>
  <c r="E9" i="2"/>
  <c r="E10" i="2" s="1"/>
  <c r="E11" i="2" s="1"/>
  <c r="H11" i="18" l="1"/>
  <c r="E6" i="18"/>
  <c r="H19" i="18" s="1"/>
  <c r="H7" i="19"/>
  <c r="I7" i="19" s="1"/>
  <c r="H6" i="19"/>
  <c r="I6" i="19" s="1"/>
  <c r="H8" i="19"/>
  <c r="I8" i="19" s="1"/>
  <c r="H5" i="19"/>
  <c r="I5" i="19" s="1"/>
  <c r="H5" i="18"/>
  <c r="I5" i="18" s="1"/>
  <c r="H8" i="18"/>
  <c r="I8" i="18" s="1"/>
  <c r="H6" i="18"/>
  <c r="I6" i="18" s="1"/>
  <c r="H7" i="18"/>
  <c r="I7" i="18" s="1"/>
  <c r="H8" i="20"/>
  <c r="I8" i="20" s="1"/>
  <c r="H6" i="20"/>
  <c r="I6" i="20" s="1"/>
  <c r="H7" i="20"/>
  <c r="I7" i="20" s="1"/>
  <c r="H5" i="20"/>
  <c r="I5" i="20" s="1"/>
  <c r="H11" i="19"/>
  <c r="E6" i="19"/>
  <c r="H19" i="19" s="1"/>
  <c r="E6" i="20"/>
  <c r="H19" i="20" s="1"/>
  <c r="H11" i="20"/>
  <c r="E6" i="17"/>
  <c r="H19" i="17" s="1"/>
  <c r="H11" i="17"/>
  <c r="H8" i="17"/>
  <c r="I8" i="17" s="1"/>
  <c r="H7" i="17"/>
  <c r="I7" i="17" s="1"/>
  <c r="H5" i="17"/>
  <c r="I5" i="17" s="1"/>
  <c r="H6" i="17"/>
  <c r="I6" i="17" s="1"/>
  <c r="H7" i="16"/>
  <c r="I7" i="16" s="1"/>
  <c r="H6" i="16"/>
  <c r="I6" i="16" s="1"/>
  <c r="H5" i="16"/>
  <c r="I5" i="16" s="1"/>
  <c r="H8" i="16"/>
  <c r="I8" i="16" s="1"/>
  <c r="E6" i="16"/>
  <c r="H19" i="16" s="1"/>
  <c r="H11" i="16"/>
  <c r="H8" i="15"/>
  <c r="I8" i="15" s="1"/>
  <c r="H5" i="15"/>
  <c r="I5" i="15" s="1"/>
  <c r="H6" i="15"/>
  <c r="I6" i="15" s="1"/>
  <c r="H7" i="15"/>
  <c r="I7" i="15" s="1"/>
  <c r="H11" i="15"/>
  <c r="E6" i="15"/>
  <c r="H19" i="15" s="1"/>
  <c r="H23" i="18" l="1"/>
  <c r="I23" i="18" s="1"/>
  <c r="H24" i="18"/>
  <c r="I24" i="18" s="1"/>
  <c r="H22" i="18"/>
  <c r="I22" i="18" s="1"/>
  <c r="H21" i="18"/>
  <c r="I21" i="18" s="1"/>
  <c r="H23" i="19"/>
  <c r="I23" i="19" s="1"/>
  <c r="H22" i="19"/>
  <c r="I22" i="19" s="1"/>
  <c r="H21" i="19"/>
  <c r="I21" i="19" s="1"/>
  <c r="H24" i="19"/>
  <c r="I24" i="19" s="1"/>
  <c r="H13" i="19"/>
  <c r="I13" i="19" s="1"/>
  <c r="H14" i="19"/>
  <c r="I14" i="19" s="1"/>
  <c r="H15" i="19"/>
  <c r="I15" i="19" s="1"/>
  <c r="H16" i="19"/>
  <c r="I16" i="19" s="1"/>
  <c r="H16" i="20"/>
  <c r="I16" i="20" s="1"/>
  <c r="H15" i="20"/>
  <c r="I15" i="20" s="1"/>
  <c r="H14" i="20"/>
  <c r="I14" i="20" s="1"/>
  <c r="H13" i="20"/>
  <c r="I13" i="20" s="1"/>
  <c r="H22" i="20"/>
  <c r="I22" i="20" s="1"/>
  <c r="H21" i="20"/>
  <c r="I21" i="20" s="1"/>
  <c r="H24" i="20"/>
  <c r="I24" i="20" s="1"/>
  <c r="H23" i="20"/>
  <c r="I23" i="20" s="1"/>
  <c r="H15" i="18"/>
  <c r="I15" i="18" s="1"/>
  <c r="H13" i="18"/>
  <c r="I13" i="18" s="1"/>
  <c r="H14" i="18"/>
  <c r="I14" i="18" s="1"/>
  <c r="H16" i="18"/>
  <c r="I16" i="18" s="1"/>
  <c r="H16" i="16"/>
  <c r="I16" i="16" s="1"/>
  <c r="H13" i="16"/>
  <c r="I13" i="16" s="1"/>
  <c r="H15" i="16"/>
  <c r="I15" i="16" s="1"/>
  <c r="H14" i="16"/>
  <c r="I14" i="16" s="1"/>
  <c r="H23" i="16"/>
  <c r="I23" i="16" s="1"/>
  <c r="H22" i="16"/>
  <c r="I22" i="16" s="1"/>
  <c r="H21" i="16"/>
  <c r="I21" i="16" s="1"/>
  <c r="H24" i="16"/>
  <c r="I24" i="16" s="1"/>
  <c r="H16" i="17"/>
  <c r="I16" i="17" s="1"/>
  <c r="H14" i="17"/>
  <c r="I14" i="17" s="1"/>
  <c r="H13" i="17"/>
  <c r="I13" i="17" s="1"/>
  <c r="H15" i="17"/>
  <c r="I15" i="17" s="1"/>
  <c r="H22" i="17"/>
  <c r="I22" i="17" s="1"/>
  <c r="H24" i="17"/>
  <c r="I24" i="17" s="1"/>
  <c r="H23" i="17"/>
  <c r="I23" i="17" s="1"/>
  <c r="H21" i="17"/>
  <c r="I21" i="17" s="1"/>
  <c r="H22" i="15"/>
  <c r="I22" i="15" s="1"/>
  <c r="H23" i="15"/>
  <c r="I23" i="15" s="1"/>
  <c r="H21" i="15"/>
  <c r="I21" i="15" s="1"/>
  <c r="H24" i="15"/>
  <c r="I24" i="15" s="1"/>
  <c r="H16" i="15"/>
  <c r="I16" i="15" s="1"/>
  <c r="H14" i="15"/>
  <c r="I14" i="15" s="1"/>
  <c r="H15" i="15"/>
  <c r="I15" i="15" s="1"/>
  <c r="H13" i="15"/>
  <c r="I13" i="15" s="1"/>
  <c r="E5" i="2" l="1"/>
  <c r="E14" i="2"/>
  <c r="E19" i="2"/>
  <c r="E20" i="2" s="1"/>
  <c r="E21" i="2" s="1"/>
  <c r="D20" i="2"/>
  <c r="D6" i="2"/>
  <c r="D15" i="2"/>
  <c r="D16" i="2"/>
  <c r="D21" i="2"/>
  <c r="E15" i="2" l="1"/>
  <c r="E16" i="2" s="1"/>
  <c r="H3" i="2"/>
  <c r="H6" i="2" s="1"/>
  <c r="I6" i="2" s="1"/>
  <c r="H11" i="2" l="1"/>
  <c r="H16" i="2" s="1"/>
  <c r="H8" i="2"/>
  <c r="I8" i="2" s="1"/>
  <c r="H7" i="2"/>
  <c r="I7" i="2" s="1"/>
  <c r="H5" i="2"/>
  <c r="I5" i="2" s="1"/>
  <c r="E6" i="2"/>
  <c r="H19" i="2" s="1"/>
  <c r="H21" i="2" s="1"/>
  <c r="H13" i="2" l="1"/>
  <c r="I13" i="2" s="1"/>
  <c r="I14" i="2"/>
  <c r="H24" i="2"/>
  <c r="I24" i="2" s="1"/>
  <c r="H23" i="2"/>
  <c r="I23" i="2" s="1"/>
  <c r="H22" i="2"/>
  <c r="I22" i="2" s="1"/>
  <c r="I21" i="2"/>
  <c r="H15" i="2"/>
  <c r="I15" i="2" s="1"/>
  <c r="I16" i="2"/>
</calcChain>
</file>

<file path=xl/sharedStrings.xml><?xml version="1.0" encoding="utf-8"?>
<sst xmlns="http://schemas.openxmlformats.org/spreadsheetml/2006/main" count="607" uniqueCount="231">
  <si>
    <t>Include</t>
  </si>
  <si>
    <t>Color</t>
  </si>
  <si>
    <t>Pos</t>
  </si>
  <si>
    <t>Name</t>
  </si>
  <si>
    <t>Concentration</t>
  </si>
  <si>
    <t>Standard</t>
  </si>
  <si>
    <t>Status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</si>
  <si>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</si>
  <si>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</si>
  <si>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</si>
  <si>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</si>
  <si>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</si>
  <si>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</si>
  <si>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</si>
  <si>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</si>
  <si>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</si>
  <si>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</si>
  <si>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</si>
  <si>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</si>
  <si>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</si>
  <si>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</si>
  <si>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</si>
  <si>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</si>
  <si>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</si>
  <si>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</si>
  <si>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</si>
  <si>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</si>
  <si>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</si>
  <si>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</si>
  <si>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</si>
  <si>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</si>
  <si>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</si>
  <si>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</si>
  <si>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</si>
  <si>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</si>
  <si>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</si>
  <si>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</si>
  <si>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A7</t>
  </si>
  <si>
    <t>A8</t>
  </si>
  <si>
    <t>A9</t>
  </si>
  <si>
    <t>A10</t>
  </si>
  <si>
    <t>A11</t>
  </si>
  <si>
    <t>A12</t>
  </si>
  <si>
    <t>B7</t>
  </si>
  <si>
    <t>B8</t>
  </si>
  <si>
    <t>B9</t>
  </si>
  <si>
    <t>B10</t>
  </si>
  <si>
    <t>B11</t>
  </si>
  <si>
    <t>B12</t>
  </si>
  <si>
    <t>C7</t>
  </si>
  <si>
    <t>C8</t>
  </si>
  <si>
    <t>C9</t>
  </si>
  <si>
    <t>C10</t>
  </si>
  <si>
    <t>C11</t>
  </si>
  <si>
    <t>C12</t>
  </si>
  <si>
    <t>D7</t>
  </si>
  <si>
    <t>D8</t>
  </si>
  <si>
    <t>D9</t>
  </si>
  <si>
    <t>D10</t>
  </si>
  <si>
    <t>D11</t>
  </si>
  <si>
    <t>D12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</si>
  <si>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</si>
  <si>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</si>
  <si>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</si>
  <si>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</si>
  <si>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</si>
  <si>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</si>
  <si>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</si>
  <si>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</si>
  <si>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</si>
  <si>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</si>
  <si>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</si>
  <si>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10% dilution delay (3.32 expected)</t>
  </si>
  <si>
    <t>DNA Copies Relative to Max</t>
  </si>
  <si>
    <t>[unreliable shaded]</t>
  </si>
  <si>
    <t>Sample 1:</t>
  </si>
  <si>
    <t>Sample 2:</t>
  </si>
  <si>
    <t>Sample 3:</t>
  </si>
  <si>
    <t>Experiment: Name</t>
  </si>
  <si>
    <t>General:Pos</t>
  </si>
  <si>
    <t>General:Sample Name</t>
  </si>
  <si>
    <t>stock conc.</t>
  </si>
  <si>
    <t>unit</t>
  </si>
  <si>
    <t>final conc.</t>
  </si>
  <si>
    <t>Template</t>
  </si>
  <si>
    <t>ng/µL</t>
  </si>
  <si>
    <t>ng</t>
  </si>
  <si>
    <t>dNTPs</t>
  </si>
  <si>
    <t>mM</t>
  </si>
  <si>
    <t>Primer F and R mix</t>
  </si>
  <si>
    <t>µM</t>
  </si>
  <si>
    <t>U/µL</t>
  </si>
  <si>
    <t>x</t>
  </si>
  <si>
    <r>
      <t>MgCl</t>
    </r>
    <r>
      <rPr>
        <vertAlign val="subscript"/>
        <sz val="9"/>
        <color theme="1"/>
        <rFont val="Arial"/>
        <family val="2"/>
      </rPr>
      <t>2</t>
    </r>
  </si>
  <si>
    <t>SyBr/Rox</t>
  </si>
  <si>
    <r>
      <t>ddH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</si>
  <si>
    <t>Add to plate</t>
  </si>
  <si>
    <t>qPCR Condtions</t>
  </si>
  <si>
    <t>First Master Mix</t>
  </si>
  <si>
    <t>Primer set</t>
  </si>
  <si>
    <t>A</t>
  </si>
  <si>
    <t>B</t>
  </si>
  <si>
    <t>C</t>
  </si>
  <si>
    <t>D</t>
  </si>
  <si>
    <t>E</t>
  </si>
  <si>
    <t>F</t>
  </si>
  <si>
    <t>Bacteria</t>
  </si>
  <si>
    <t>Total volume per reaction (µL):</t>
  </si>
  <si>
    <t>Volume per reaction (µL)</t>
  </si>
  <si>
    <t>Master mix multiplication (allowing for pipette errors):</t>
  </si>
  <si>
    <t>Total volume in first master mix (µL):</t>
  </si>
  <si>
    <t>Volume in master mix</t>
  </si>
  <si>
    <t>Add to 2nd MM</t>
  </si>
  <si>
    <t>1st Master Mix</t>
  </si>
  <si>
    <t>From above</t>
  </si>
  <si>
    <t>Total volume in second master mix (µL):</t>
  </si>
  <si>
    <t>Well</t>
  </si>
  <si>
    <t>Step</t>
  </si>
  <si>
    <t>Melting curve</t>
  </si>
  <si>
    <t>Time (min:sec)</t>
  </si>
  <si>
    <t>Temp (˚C)</t>
  </si>
  <si>
    <t>10:00</t>
  </si>
  <si>
    <t>0:30</t>
  </si>
  <si>
    <t>1:00</t>
  </si>
  <si>
    <t>Repeat steps 2–4 for 50 cycles</t>
  </si>
  <si>
    <t>Sample 4:</t>
  </si>
  <si>
    <t>Sample 5:</t>
  </si>
  <si>
    <t>Sample 6:</t>
  </si>
  <si>
    <t>Sample 7:</t>
  </si>
  <si>
    <t>Number of samples</t>
  </si>
  <si>
    <t>Total reactions (12 * n samples + 4 controls):</t>
  </si>
  <si>
    <t>Second Master Mix (Make for all 4 primer sets)</t>
  </si>
  <si>
    <t>Total reactions (3 * n samples + 1 control):</t>
  </si>
  <si>
    <t>Plant nuclear</t>
  </si>
  <si>
    <t>Plant chloroplast</t>
  </si>
  <si>
    <t>Fungi</t>
  </si>
  <si>
    <t>G</t>
  </si>
  <si>
    <t>H</t>
  </si>
  <si>
    <t>sample 2</t>
  </si>
  <si>
    <t>sample 1</t>
  </si>
  <si>
    <t>sample 3</t>
  </si>
  <si>
    <t>sample 4</t>
  </si>
  <si>
    <t>sample 5</t>
  </si>
  <si>
    <t>sample 6</t>
  </si>
  <si>
    <t>sample 7</t>
  </si>
  <si>
    <t>Sample names</t>
  </si>
  <si>
    <t>Recommended Plate Layout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</si>
  <si>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</si>
  <si>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</si>
  <si>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</si>
  <si>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</si>
  <si>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</si>
  <si>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</si>
  <si>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</si>
  <si>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</si>
  <si>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</si>
  <si>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</si>
  <si>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</si>
  <si>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</si>
  <si>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</si>
  <si>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</si>
  <si>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</si>
  <si>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</si>
  <si>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</si>
  <si>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</si>
  <si>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</si>
  <si>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</si>
  <si>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</si>
  <si>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</si>
  <si>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</si>
  <si>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</si>
  <si>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</si>
  <si>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</si>
  <si>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</si>
  <si>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</si>
  <si>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</si>
  <si>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</si>
  <si>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</si>
  <si>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100% library</t>
  </si>
  <si>
    <t>10% dilution</t>
  </si>
  <si>
    <t>1% dilution</t>
  </si>
  <si>
    <t>Negative control</t>
  </si>
  <si>
    <t>Plant nuclear DNA (tRNA-His)</t>
  </si>
  <si>
    <t>Plant chloroplast DNA (rbcL)</t>
  </si>
  <si>
    <t>Bacteria DNA (16S rRNA)</t>
  </si>
  <si>
    <t>Fungi DNA        (18S rRNA)</t>
  </si>
  <si>
    <t>Chloroplast</t>
  </si>
  <si>
    <t>10% library</t>
  </si>
  <si>
    <t>1% library</t>
  </si>
  <si>
    <t xml:space="preserve">Following the plate layout is essential. </t>
  </si>
  <si>
    <t xml:space="preserve">Data from real-time qPCR should be pasted on this worksheet. </t>
  </si>
  <si>
    <t>µM (each)</t>
  </si>
  <si>
    <t>Nathan Wales, J. Alberto Romero-Navarro, Enrico Cappellini, and M. Thomas P. Gilbert</t>
  </si>
  <si>
    <t>Directions</t>
  </si>
  <si>
    <t>Sample names must be entered for automated master mix calculations and plate design. Plate layout will reconfigure based upon number of  samples.</t>
  </si>
  <si>
    <t xml:space="preserve">1.  Prepare ancient plant samples as directed in manuscript. </t>
  </si>
  <si>
    <t>2.  Select up to 7 samples to be used in the qPCR assay.</t>
  </si>
  <si>
    <t>3.  Type the names of the samples in the "Master mixes" worksheet.</t>
  </si>
  <si>
    <t xml:space="preserve">      Delete names not being used, and worksheet will update calculations/plate layout. </t>
  </si>
  <si>
    <t xml:space="preserve">      Tip: Master mix page can be altered for different stock concentrations.  </t>
  </si>
  <si>
    <t>4.  Make first master mix (without primers).</t>
  </si>
  <si>
    <t>5.  Pipette the indicated volume into four tubes and add one primer set to each tube.</t>
  </si>
  <si>
    <t xml:space="preserve">6.  Create a dilution series for each sample: 100%, 10%, and 1%. </t>
  </si>
  <si>
    <t xml:space="preserve">      Tip: Put dilution series in strip tubes so multichannel pipettes can be used. </t>
  </si>
  <si>
    <t>7.  Pipette samples and master mixes according to the "Plate layout" worksheet.</t>
  </si>
  <si>
    <t xml:space="preserve">8.  Run real-time qPCR according to specified protocol. </t>
  </si>
  <si>
    <t>10. Sample worksheets 1-7 automatically access the raw data and analyze it.</t>
  </si>
  <si>
    <t xml:space="preserve">      The left-hand side of the worksheet (columns A-E) is used to check the reliability of the data.</t>
  </si>
  <si>
    <t xml:space="preserve">      The right-hand side of the worksheet (columns G-I) gives the relative amounts of the types of DNA. </t>
  </si>
  <si>
    <t xml:space="preserve">      Tip: Unreliable data is automatically dimmed.</t>
  </si>
  <si>
    <t xml:space="preserve">      Generally the non-diluted sample provides sufficient information.  </t>
  </si>
  <si>
    <t xml:space="preserve">      Figure 1 provides guidelines for selecting the best sample for shotgun sequencing. </t>
  </si>
  <si>
    <t xml:space="preserve">      List samples in consecutive order (i.e., do not skip name slots if there are less than 7 samples).</t>
  </si>
  <si>
    <t>11. Compare and contrast different samples using the maximum DNA and relative percentages.</t>
  </si>
  <si>
    <t xml:space="preserve">      Tip: Names can be imported or pasted into Roche LightCycler software using "For software" worksheet.</t>
  </si>
  <si>
    <t>AmpliTaq Gold</t>
  </si>
  <si>
    <t>AmpliTaq buffer</t>
  </si>
  <si>
    <t>9.  Following qPCR run, enter data into "Raw qPCR data" worksheet.</t>
  </si>
  <si>
    <t xml:space="preserve">      Data from LightCycler software can be pasted directly into worksheet.</t>
  </si>
  <si>
    <t xml:space="preserve">      Alternatively, Ct values for the corresponding wells can be manually entered into worksheet.</t>
  </si>
  <si>
    <t xml:space="preserve">      Check that Ct values are in column D, starting with row 3. </t>
  </si>
  <si>
    <t xml:space="preserve">      Each Ct value of the sample and dilutions are checked against the corresponding negative control. </t>
  </si>
  <si>
    <t xml:space="preserve">      Ct values are compared to check if values increase along each dilution series.</t>
  </si>
  <si>
    <t>Ct</t>
  </si>
  <si>
    <t>Ct values are used to calculate all 7 samples.</t>
  </si>
  <si>
    <t>Reliability of Ct (vs. control)</t>
  </si>
  <si>
    <t>Min reliable Ct:</t>
  </si>
  <si>
    <t>Cycles after min Ct</t>
  </si>
  <si>
    <t>Choosing the best plant for the job: a cost-effective assay to prescreen ancient plant remains destined for shotgun sequencing</t>
  </si>
  <si>
    <t xml:space="preserve">Spreadsheet S1 </t>
  </si>
  <si>
    <t>Double check that well position is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</si>
</sst>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  <scheme val="minor"/>
    </font>
    <font>
      <i/>
      <sz val="9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/>
    <xf numFmtId="0" fontId="0" fillId="0" borderId="0" xfId="0"/>
    <xf numFmtId="0" fontId="0" fillId="0" borderId="13" xfId="0" applyBorder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 quotePrefix="1"/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9" fontId="0" fillId="43" borderId="0" xfId="0" applyNumberFormat="1" applyFill="1" applyAlignment="1">
      <alignment horizontal="center" vertical="top"/>
    </xf>
    <xf numFmtId="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ont="1"/>
    <xf numFmtId="0" fontId="25" fillId="43" borderId="22" xfId="0" applyFont="1" applyFill="1" applyBorder="1" applyAlignment="1" applyProtection="1">
      <alignment horizontal="center" vertical="center" wrapText="1"/>
      <protection hidden="1"/>
    </xf>
    <xf numFmtId="0" fontId="17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5" fillId="43" borderId="28" xfId="0" applyFont="1" applyFill="1" applyBorder="1" applyAlignment="1" applyProtection="1">
      <alignment horizontal="center" vertical="center" wrapText="1"/>
      <protection hidden="1"/>
    </xf>
    <xf numFmtId="0" fontId="17" fillId="0" borderId="28" xfId="0" applyFont="1" applyFill="1" applyBorder="1" applyAlignment="1" applyProtection="1">
      <alignment horizontal="center" vertical="center" wrapText="1"/>
      <protection hidden="1"/>
    </xf>
    <xf numFmtId="0" fontId="25" fillId="43" borderId="20" xfId="0" applyFont="1" applyFill="1" applyBorder="1" applyAlignment="1" applyProtection="1">
      <alignment horizontal="center" vertical="center" wrapText="1"/>
      <protection hidden="1"/>
    </xf>
    <xf numFmtId="0" fontId="25" fillId="43" borderId="18" xfId="0" applyFont="1" applyFill="1" applyBorder="1" applyAlignment="1" applyProtection="1">
      <alignment horizontal="center" vertical="center" wrapText="1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 applyProtection="1">
      <alignment horizontal="center" vertical="center" wrapText="1"/>
      <protection hidden="1"/>
    </xf>
    <xf numFmtId="0" fontId="17" fillId="0" borderId="20" xfId="0" applyFont="1" applyFill="1" applyBorder="1" applyAlignment="1" applyProtection="1">
      <alignment horizontal="center" vertical="center" wrapText="1"/>
      <protection hidden="1"/>
    </xf>
    <xf numFmtId="0" fontId="25" fillId="43" borderId="29" xfId="0" applyFont="1" applyFill="1" applyBorder="1" applyAlignment="1" applyProtection="1">
      <alignment horizontal="center" vertical="center" wrapText="1"/>
      <protection hidden="1"/>
    </xf>
    <xf numFmtId="0" fontId="25" fillId="43" borderId="21" xfId="0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25" fillId="43" borderId="23" xfId="0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0" xfId="0" applyBorder="1"/>
    <xf numFmtId="0" fontId="16" fillId="0" borderId="12" xfId="0" applyFont="1" applyBorder="1"/>
    <xf numFmtId="0" fontId="0" fillId="0" borderId="15" xfId="0" applyBorder="1"/>
    <xf numFmtId="0" fontId="23" fillId="0" borderId="14" xfId="0" applyFont="1" applyBorder="1" applyProtection="1">
      <protection locked="0"/>
    </xf>
    <xf numFmtId="0" fontId="23" fillId="0" borderId="17" xfId="0" applyFont="1" applyBorder="1" applyProtection="1"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vertical="center" wrapText="1"/>
      <protection locked="0"/>
    </xf>
    <xf numFmtId="0" fontId="19" fillId="0" borderId="21" xfId="0" applyFont="1" applyBorder="1" applyAlignment="1" applyProtection="1">
      <alignment vertical="center" wrapText="1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horizontal="right"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9" fillId="0" borderId="21" xfId="0" applyFont="1" applyBorder="1" applyAlignment="1" applyProtection="1">
      <alignment horizontal="right" vertical="center"/>
      <protection locked="0"/>
    </xf>
    <xf numFmtId="0" fontId="24" fillId="0" borderId="23" xfId="0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Protection="1">
      <protection hidden="1"/>
    </xf>
    <xf numFmtId="0" fontId="0" fillId="0" borderId="0" xfId="0" quotePrefix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14" fillId="0" borderId="0" xfId="0" applyFont="1" applyAlignment="1">
      <alignment wrapText="1"/>
    </xf>
    <xf numFmtId="0" fontId="16" fillId="0" borderId="0" xfId="0" applyFont="1" applyProtection="1">
      <protection hidden="1"/>
    </xf>
    <xf numFmtId="0" fontId="0" fillId="33" borderId="10" xfId="0" applyFill="1" applyBorder="1" applyProtection="1">
      <protection hidden="1"/>
    </xf>
    <xf numFmtId="9" fontId="16" fillId="33" borderId="11" xfId="0" applyNumberFormat="1" applyFont="1" applyFill="1" applyBorder="1" applyProtection="1">
      <protection hidden="1"/>
    </xf>
    <xf numFmtId="0" fontId="0" fillId="33" borderId="12" xfId="0" applyFill="1" applyBorder="1" applyProtection="1">
      <protection hidden="1"/>
    </xf>
    <xf numFmtId="0" fontId="16" fillId="0" borderId="10" xfId="0" applyFont="1" applyBorder="1" applyAlignment="1" applyProtection="1">
      <alignment vertical="top"/>
      <protection hidden="1"/>
    </xf>
    <xf numFmtId="0" fontId="16" fillId="0" borderId="11" xfId="0" applyFont="1" applyBorder="1" applyAlignment="1" applyProtection="1">
      <alignment vertical="top"/>
      <protection hidden="1"/>
    </xf>
    <xf numFmtId="0" fontId="16" fillId="0" borderId="11" xfId="0" applyFont="1" applyFill="1" applyBorder="1" applyAlignment="1" applyProtection="1">
      <alignment horizontal="center" vertical="top"/>
      <protection hidden="1"/>
    </xf>
    <xf numFmtId="0" fontId="16" fillId="0" borderId="11" xfId="0" applyFont="1" applyFill="1" applyBorder="1" applyAlignment="1" applyProtection="1">
      <alignment horizontal="center" vertical="top" wrapText="1"/>
      <protection hidden="1"/>
    </xf>
    <xf numFmtId="0" fontId="16" fillId="0" borderId="12" xfId="0" applyFont="1" applyFill="1" applyBorder="1" applyAlignment="1" applyProtection="1">
      <alignment horizontal="center" vertical="top" wrapText="1"/>
      <protection hidden="1"/>
    </xf>
    <xf numFmtId="0" fontId="18" fillId="0" borderId="10" xfId="0" applyFont="1" applyFill="1" applyBorder="1" applyProtection="1">
      <protection hidden="1"/>
    </xf>
    <xf numFmtId="0" fontId="18" fillId="0" borderId="11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horizontal="right" vertical="top"/>
      <protection hidden="1"/>
    </xf>
    <xf numFmtId="0" fontId="18" fillId="34" borderId="0" xfId="0" applyFont="1" applyFill="1" applyBorder="1" applyProtection="1">
      <protection hidden="1"/>
    </xf>
    <xf numFmtId="0" fontId="0" fillId="38" borderId="0" xfId="0" applyFill="1" applyBorder="1" applyAlignment="1" applyProtection="1">
      <alignment horizontal="center" vertical="center"/>
      <protection hidden="1"/>
    </xf>
    <xf numFmtId="0" fontId="0" fillId="38" borderId="14" xfId="0" applyFill="1" applyBorder="1" applyAlignment="1" applyProtection="1">
      <alignment horizontal="left" vertical="center"/>
      <protection hidden="1"/>
    </xf>
    <xf numFmtId="0" fontId="18" fillId="0" borderId="13" xfId="0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18" fillId="0" borderId="14" xfId="0" applyFont="1" applyFill="1" applyBorder="1" applyProtection="1">
      <protection hidden="1"/>
    </xf>
    <xf numFmtId="10" fontId="18" fillId="0" borderId="14" xfId="42" applyNumberFormat="1" applyFont="1" applyFill="1" applyBorder="1" applyProtection="1">
      <protection hidden="1"/>
    </xf>
    <xf numFmtId="0" fontId="0" fillId="34" borderId="0" xfId="0" applyFill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18" fillId="0" borderId="15" xfId="0" applyFont="1" applyFill="1" applyBorder="1" applyProtection="1">
      <protection hidden="1"/>
    </xf>
    <xf numFmtId="0" fontId="18" fillId="0" borderId="16" xfId="0" applyFont="1" applyFill="1" applyBorder="1" applyProtection="1">
      <protection hidden="1"/>
    </xf>
    <xf numFmtId="10" fontId="18" fillId="0" borderId="17" xfId="42" applyNumberFormat="1" applyFont="1" applyFill="1" applyBorder="1" applyProtection="1">
      <protection hidden="1"/>
    </xf>
    <xf numFmtId="0" fontId="0" fillId="37" borderId="0" xfId="0" applyFill="1" applyBorder="1" applyProtection="1">
      <protection hidden="1"/>
    </xf>
    <xf numFmtId="0" fontId="0" fillId="41" borderId="0" xfId="0" applyFill="1" applyBorder="1" applyAlignment="1" applyProtection="1">
      <alignment horizontal="center" vertical="center"/>
      <protection hidden="1"/>
    </xf>
    <xf numFmtId="0" fontId="0" fillId="41" borderId="14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4" xfId="0" applyFont="1" applyFill="1" applyBorder="1" applyAlignment="1" applyProtection="1">
      <alignment horizontal="right" vertical="top"/>
      <protection hidden="1"/>
    </xf>
    <xf numFmtId="0" fontId="0" fillId="0" borderId="1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8" fillId="36" borderId="0" xfId="0" applyFont="1" applyFill="1" applyBorder="1" applyProtection="1">
      <protection hidden="1"/>
    </xf>
    <xf numFmtId="0" fontId="0" fillId="39" borderId="0" xfId="0" applyFill="1" applyBorder="1" applyAlignment="1" applyProtection="1">
      <alignment horizontal="center" vertical="center"/>
      <protection hidden="1"/>
    </xf>
    <xf numFmtId="0" fontId="0" fillId="39" borderId="14" xfId="0" applyFill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35" borderId="0" xfId="0" applyFill="1" applyBorder="1" applyProtection="1">
      <protection hidden="1"/>
    </xf>
    <xf numFmtId="0" fontId="0" fillId="40" borderId="0" xfId="0" applyFill="1" applyBorder="1" applyAlignment="1" applyProtection="1">
      <alignment horizontal="center" vertical="center"/>
      <protection hidden="1"/>
    </xf>
    <xf numFmtId="0" fontId="0" fillId="40" borderId="14" xfId="0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Protection="1">
      <protection hidden="1"/>
    </xf>
    <xf numFmtId="0" fontId="0" fillId="35" borderId="16" xfId="0" applyFill="1" applyBorder="1" applyProtection="1">
      <protection hidden="1"/>
    </xf>
    <xf numFmtId="0" fontId="0" fillId="40" borderId="16" xfId="0" applyFill="1" applyBorder="1" applyAlignment="1" applyProtection="1">
      <alignment horizontal="center" vertical="center"/>
      <protection hidden="1"/>
    </xf>
    <xf numFmtId="0" fontId="0" fillId="40" borderId="17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10" fontId="18" fillId="0" borderId="0" xfId="42" applyNumberFormat="1" applyFont="1" applyFill="1" applyBorder="1" applyProtection="1">
      <protection hidden="1"/>
    </xf>
    <xf numFmtId="0" fontId="16" fillId="42" borderId="24" xfId="0" applyFont="1" applyFill="1" applyBorder="1" applyAlignment="1" applyProtection="1">
      <alignment horizontal="center"/>
      <protection locked="0"/>
    </xf>
    <xf numFmtId="0" fontId="16" fillId="42" borderId="25" xfId="0" applyFont="1" applyFill="1" applyBorder="1" applyAlignment="1" applyProtection="1">
      <alignment horizontal="center"/>
      <protection locked="0"/>
    </xf>
    <xf numFmtId="0" fontId="16" fillId="42" borderId="26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0" fillId="0" borderId="22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0" fillId="43" borderId="0" xfId="0" applyFont="1" applyFill="1" applyAlignment="1">
      <alignment horizontal="center"/>
    </xf>
    <xf numFmtId="0" fontId="0" fillId="43" borderId="0" xfId="0" quotePrefix="1" applyFill="1" applyAlignment="1">
      <alignment horizontal="center"/>
    </xf>
    <xf numFmtId="0" fontId="0" fillId="4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13" xfId="0" applyFill="1" applyBorder="1" applyAlignment="1" applyProtection="1">
      <alignment horizontal="center" vertical="center" wrapText="1"/>
      <protection hidden="1"/>
    </xf>
    <xf numFmtId="0" fontId="0" fillId="37" borderId="13" xfId="0" applyFill="1" applyBorder="1" applyAlignment="1" applyProtection="1">
      <alignment horizontal="center" vertical="center" wrapText="1"/>
      <protection hidden="1"/>
    </xf>
    <xf numFmtId="0" fontId="0" fillId="36" borderId="13" xfId="0" applyFill="1" applyBorder="1" applyAlignment="1" applyProtection="1">
      <alignment horizontal="center" vertical="center" wrapText="1"/>
      <protection hidden="1"/>
    </xf>
    <xf numFmtId="0" fontId="0" fillId="35" borderId="13" xfId="0" applyFill="1" applyBorder="1" applyAlignment="1" applyProtection="1">
      <alignment horizontal="center" vertical="center" wrapText="1"/>
      <protection hidden="1"/>
    </xf>
    <xf numFmtId="0" fontId="0" fillId="35" borderId="15" xfId="0" applyFill="1" applyBorder="1" applyAlignment="1" applyProtection="1">
      <alignment horizontal="center" vertical="center" wrapText="1"/>
      <protection hidden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86"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 tint="0.24994659260841701"/>
      </font>
      <fill>
        <patternFill>
          <bgColor theme="1" tint="0.499984740745262"/>
        </patternFill>
      </fill>
    </dxf>
    <dxf>
      <fill>
        <patternFill patternType="solid">
          <bgColor rgb="FFFFFF99"/>
        </patternFill>
      </fill>
    </dxf>
    <dxf>
      <font>
        <color theme="1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7C80"/>
      <color rgb="FF660033"/>
      <color rgb="FF00863D"/>
      <color rgb="FF90E2B1"/>
      <color rgb="FFBD9E19"/>
      <color rgb="FFE8BA12"/>
      <color rgb="FFFCEA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>
      <selection activeCell="A32" sqref="A32"/>
    </sheetView>
  </sheetViews>
  <sheetFormatPr defaultRowHeight="15" x14ac:dyDescent="0.25"/>
  <cols>
    <col min="1" max="1" width="113.140625" customWidth="1"/>
  </cols>
  <sheetData>
    <row r="1" spans="1:1" x14ac:dyDescent="0.25">
      <c r="A1" s="13" t="s">
        <v>228</v>
      </c>
    </row>
    <row r="2" spans="1:1" x14ac:dyDescent="0.25">
      <c r="A2" t="s">
        <v>192</v>
      </c>
    </row>
    <row r="3" spans="1:1" x14ac:dyDescent="0.25">
      <c r="A3" s="74" t="s">
        <v>229</v>
      </c>
    </row>
    <row r="5" spans="1:1" x14ac:dyDescent="0.25">
      <c r="A5" s="75" t="s">
        <v>193</v>
      </c>
    </row>
    <row r="6" spans="1:1" x14ac:dyDescent="0.25">
      <c r="A6" s="67" t="s">
        <v>195</v>
      </c>
    </row>
    <row r="7" spans="1:1" x14ac:dyDescent="0.25">
      <c r="A7" s="67" t="s">
        <v>196</v>
      </c>
    </row>
    <row r="8" spans="1:1" x14ac:dyDescent="0.25">
      <c r="A8" s="67" t="s">
        <v>197</v>
      </c>
    </row>
    <row r="9" spans="1:1" x14ac:dyDescent="0.25">
      <c r="A9" s="67" t="s">
        <v>212</v>
      </c>
    </row>
    <row r="10" spans="1:1" x14ac:dyDescent="0.25">
      <c r="A10" s="67" t="s">
        <v>198</v>
      </c>
    </row>
    <row r="11" spans="1:1" x14ac:dyDescent="0.25">
      <c r="A11" s="67" t="s">
        <v>199</v>
      </c>
    </row>
    <row r="12" spans="1:1" x14ac:dyDescent="0.25">
      <c r="A12" s="67" t="s">
        <v>200</v>
      </c>
    </row>
    <row r="13" spans="1:1" x14ac:dyDescent="0.25">
      <c r="A13" s="67" t="s">
        <v>201</v>
      </c>
    </row>
    <row r="14" spans="1:1" x14ac:dyDescent="0.25">
      <c r="A14" s="67" t="s">
        <v>202</v>
      </c>
    </row>
    <row r="15" spans="1:1" x14ac:dyDescent="0.25">
      <c r="A15" s="67" t="s">
        <v>203</v>
      </c>
    </row>
    <row r="16" spans="1:1" x14ac:dyDescent="0.25">
      <c r="A16" s="67" t="s">
        <v>204</v>
      </c>
    </row>
    <row r="17" spans="1:1" x14ac:dyDescent="0.25">
      <c r="A17" s="67" t="s">
        <v>205</v>
      </c>
    </row>
    <row r="18" spans="1:1" x14ac:dyDescent="0.25">
      <c r="A18" s="67" t="s">
        <v>214</v>
      </c>
    </row>
    <row r="19" spans="1:1" x14ac:dyDescent="0.25">
      <c r="A19" s="67" t="s">
        <v>217</v>
      </c>
    </row>
    <row r="20" spans="1:1" s="67" customFormat="1" x14ac:dyDescent="0.25">
      <c r="A20" s="67" t="s">
        <v>218</v>
      </c>
    </row>
    <row r="21" spans="1:1" x14ac:dyDescent="0.25">
      <c r="A21" s="67" t="s">
        <v>219</v>
      </c>
    </row>
    <row r="22" spans="1:1" s="67" customFormat="1" x14ac:dyDescent="0.25">
      <c r="A22" s="67" t="s">
        <v>220</v>
      </c>
    </row>
    <row r="23" spans="1:1" x14ac:dyDescent="0.25">
      <c r="A23" s="67" t="s">
        <v>206</v>
      </c>
    </row>
    <row r="24" spans="1:1" x14ac:dyDescent="0.25">
      <c r="A24" s="67" t="s">
        <v>207</v>
      </c>
    </row>
    <row r="25" spans="1:1" x14ac:dyDescent="0.25">
      <c r="A25" s="67" t="s">
        <v>221</v>
      </c>
    </row>
    <row r="26" spans="1:1" x14ac:dyDescent="0.25">
      <c r="A26" s="67" t="s">
        <v>222</v>
      </c>
    </row>
    <row r="27" spans="1:1" x14ac:dyDescent="0.25">
      <c r="A27" s="67" t="s">
        <v>208</v>
      </c>
    </row>
    <row r="28" spans="1:1" x14ac:dyDescent="0.25">
      <c r="A28" s="67" t="s">
        <v>209</v>
      </c>
    </row>
    <row r="29" spans="1:1" x14ac:dyDescent="0.25">
      <c r="A29" s="67" t="s">
        <v>210</v>
      </c>
    </row>
    <row r="30" spans="1:1" x14ac:dyDescent="0.25">
      <c r="A30" s="67" t="s">
        <v>213</v>
      </c>
    </row>
    <row r="31" spans="1:1" x14ac:dyDescent="0.25">
      <c r="A31" s="67" t="s">
        <v>211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5" x14ac:dyDescent="0.25"/>
  <cols>
    <col min="1" max="1" width="16.28515625" style="70" customWidth="1"/>
    <col min="2" max="2" width="17.42578125" style="70" customWidth="1"/>
    <col min="3" max="3" width="8.28515625" style="70" customWidth="1"/>
    <col min="4" max="4" width="18.7109375" style="70" customWidth="1"/>
    <col min="5" max="5" width="17.7109375" style="70" customWidth="1"/>
    <col min="6" max="6" width="2.85546875" style="70" customWidth="1"/>
    <col min="7" max="7" width="15.140625" style="70" customWidth="1"/>
    <col min="8" max="8" width="18.28515625" style="70" customWidth="1"/>
    <col min="9" max="9" width="26" style="70" customWidth="1"/>
    <col min="10" max="16384" width="9.140625" style="70"/>
  </cols>
  <sheetData>
    <row r="1" spans="1:9" ht="15.75" thickBot="1" x14ac:dyDescent="0.3">
      <c r="B1" s="70" t="s">
        <v>126</v>
      </c>
      <c r="D1" s="77" t="str">
        <f>IF('Master mixes'!B6=0,"NONE",'Master mixes'!B6)</f>
        <v>sample 5</v>
      </c>
    </row>
    <row r="2" spans="1:9" ht="15.75" thickBot="1" x14ac:dyDescent="0.3">
      <c r="G2" s="78"/>
      <c r="H2" s="79" t="s">
        <v>178</v>
      </c>
      <c r="I2" s="80"/>
    </row>
    <row r="3" spans="1:9" ht="30" x14ac:dyDescent="0.25">
      <c r="A3" s="81" t="s">
        <v>99</v>
      </c>
      <c r="B3" s="82" t="s">
        <v>3</v>
      </c>
      <c r="C3" s="83" t="s">
        <v>223</v>
      </c>
      <c r="D3" s="84" t="s">
        <v>72</v>
      </c>
      <c r="E3" s="85" t="s">
        <v>225</v>
      </c>
      <c r="G3" s="86" t="s">
        <v>226</v>
      </c>
      <c r="H3" s="87" t="str">
        <f>IF(MIN(IF(E4="Safe",C4,99),IF(E9="Safe",C9,99),IF(E14="Safe",C14,99),IF(E19="Safe",C19,99))=99,"no good value",MIN(IF(E4="Safe",C4,99),IF(E9="Safe",C9,99),IF(E14="Safe",C14,99),IF(E19="Safe",C19,99)))</f>
        <v>no good value</v>
      </c>
      <c r="I3" s="88" t="s">
        <v>74</v>
      </c>
    </row>
    <row r="4" spans="1:9" ht="15" customHeight="1" x14ac:dyDescent="0.25">
      <c r="A4" s="143" t="s">
        <v>182</v>
      </c>
      <c r="B4" s="89" t="s">
        <v>178</v>
      </c>
      <c r="C4" s="90">
        <f>IF('Master mixes'!$B$9&lt;5,"N/A",'Raw qPCR data'!E51)</f>
        <v>0</v>
      </c>
      <c r="D4" s="90"/>
      <c r="E4" s="91" t="str">
        <f>IF(C4&gt;($C$7-0.2),"Do not trust value",IF(C4&gt;($C$7-0.75),"Marginal","Safe"))</f>
        <v>Do not trust value</v>
      </c>
      <c r="G4" s="92"/>
      <c r="H4" s="93" t="s">
        <v>227</v>
      </c>
      <c r="I4" s="94" t="s">
        <v>73</v>
      </c>
    </row>
    <row r="5" spans="1:9" x14ac:dyDescent="0.25">
      <c r="A5" s="143"/>
      <c r="B5" s="89" t="s">
        <v>179</v>
      </c>
      <c r="C5" s="90">
        <f>IF('Master mixes'!$B$9&lt;5,"N/A",'Raw qPCR data'!E52)</f>
        <v>0</v>
      </c>
      <c r="D5" s="90">
        <f>C5-C4</f>
        <v>0</v>
      </c>
      <c r="E5" s="91" t="str">
        <f>IF(E4="Do not trust value","Do not trust value",IF(E4="Marginal","Do not trust value", IF(C5&gt;($C$7-0.2),"Do not trust value",IF(C5&gt;($C$7-0.75),"Marginal","Safe"))))</f>
        <v>Do not trust value</v>
      </c>
      <c r="G5" s="92" t="s">
        <v>133</v>
      </c>
      <c r="H5" s="93" t="e">
        <f>C4-$H$3</f>
        <v>#VALUE!</v>
      </c>
      <c r="I5" s="95" t="e">
        <f>2^-H5</f>
        <v>#VALUE!</v>
      </c>
    </row>
    <row r="6" spans="1:9" x14ac:dyDescent="0.25">
      <c r="A6" s="143"/>
      <c r="B6" s="89" t="s">
        <v>180</v>
      </c>
      <c r="C6" s="90">
        <f>IF('Master mixes'!$B$9&lt;5,"N/A",'Raw qPCR data'!E53)</f>
        <v>0</v>
      </c>
      <c r="D6" s="90">
        <f>C6-C5</f>
        <v>0</v>
      </c>
      <c r="E6" s="91" t="str">
        <f>IF(E5="Do not trust value","Do not trust value",IF(E5="Marginal","Do not trust value", IF(C6&gt;($C$7-0.2),"Do not trust value",IF(C6&gt;($C$7-0.75),"Marginal","Safe"))))</f>
        <v>Do not trust value</v>
      </c>
      <c r="G6" s="92" t="s">
        <v>186</v>
      </c>
      <c r="H6" s="93" t="e">
        <f>C9-$H$3</f>
        <v>#VALUE!</v>
      </c>
      <c r="I6" s="95" t="e">
        <f>2^-H6</f>
        <v>#VALUE!</v>
      </c>
    </row>
    <row r="7" spans="1:9" x14ac:dyDescent="0.25">
      <c r="A7" s="143"/>
      <c r="B7" s="96" t="s">
        <v>181</v>
      </c>
      <c r="C7" s="90">
        <f>INDEX('Raw qPCR data'!E:E,1+(MATCH("Nucl Neg",'For software'!B:B,0)),1)</f>
        <v>0</v>
      </c>
      <c r="D7" s="90"/>
      <c r="E7" s="91"/>
      <c r="G7" s="92" t="s">
        <v>106</v>
      </c>
      <c r="H7" s="93" t="e">
        <f>C14-$H$3</f>
        <v>#VALUE!</v>
      </c>
      <c r="I7" s="95" t="e">
        <f>2^-H7</f>
        <v>#VALUE!</v>
      </c>
    </row>
    <row r="8" spans="1:9" ht="15.75" thickBot="1" x14ac:dyDescent="0.3">
      <c r="A8" s="97"/>
      <c r="B8" s="98"/>
      <c r="C8" s="99"/>
      <c r="D8" s="99"/>
      <c r="E8" s="100"/>
      <c r="G8" s="101" t="s">
        <v>135</v>
      </c>
      <c r="H8" s="102" t="e">
        <f>C19-$H$3</f>
        <v>#VALUE!</v>
      </c>
      <c r="I8" s="103" t="e">
        <f>2^-H8</f>
        <v>#VALUE!</v>
      </c>
    </row>
    <row r="9" spans="1:9" ht="15.75" thickBot="1" x14ac:dyDescent="0.3">
      <c r="A9" s="144" t="s">
        <v>183</v>
      </c>
      <c r="B9" s="104" t="s">
        <v>178</v>
      </c>
      <c r="C9" s="105">
        <f>IF('Master mixes'!$B$9&lt;5,"N/A",'Raw qPCR data'!E63)</f>
        <v>0</v>
      </c>
      <c r="D9" s="105"/>
      <c r="E9" s="106" t="str">
        <f>IF(C9&gt;(C12-0.2),"Do not trust value",IF(C9&gt;(C12-0.75),"Marginal","Safe"))</f>
        <v>Do not trust value</v>
      </c>
    </row>
    <row r="10" spans="1:9" ht="15.75" thickBot="1" x14ac:dyDescent="0.3">
      <c r="A10" s="144"/>
      <c r="B10" s="104" t="s">
        <v>179</v>
      </c>
      <c r="C10" s="105">
        <f>IF('Master mixes'!$B$9&lt;5,"N/A",'Raw qPCR data'!E64)</f>
        <v>0</v>
      </c>
      <c r="D10" s="105">
        <f>C10-C9</f>
        <v>0</v>
      </c>
      <c r="E10" s="106" t="str">
        <f>IF(E9="Do not trust value","Do not trust value",IF(E9="Marginal","Do not trust value", IF(C10&gt;(C12-0.2),"Do not trust value",IF(C10&gt;(C12-0.75),"Marginal","Safe"))))</f>
        <v>Do not trust value</v>
      </c>
      <c r="G10" s="78"/>
      <c r="H10" s="79" t="s">
        <v>187</v>
      </c>
      <c r="I10" s="80"/>
    </row>
    <row r="11" spans="1:9" x14ac:dyDescent="0.25">
      <c r="A11" s="144"/>
      <c r="B11" s="104" t="s">
        <v>180</v>
      </c>
      <c r="C11" s="105">
        <f>IF('Master mixes'!$B$9&lt;5,"N/A",'Raw qPCR data'!E65)</f>
        <v>0</v>
      </c>
      <c r="D11" s="105">
        <f>C11-C10</f>
        <v>0</v>
      </c>
      <c r="E11" s="106" t="str">
        <f>IF(E10="Do not trust value","Do not trust value",IF(E10="Marginal","Do not trust value", IF(C11&gt;(C12-0.2),"Do not trust value",IF(C11&gt;(C12-0.75),"Marginal","Safe"))))</f>
        <v>Do not trust value</v>
      </c>
      <c r="G11" s="86" t="s">
        <v>226</v>
      </c>
      <c r="H11" s="107" t="str">
        <f>IF(MIN(IF(E5="Safe",C5,99),IF(E10="Safe",C10,99),IF(E15="Safe",C15,99),IF(E20="Safe",C20,99))=99,"no good value",MIN(IF(E5="Safe",C5,99),IF(E10="Safe",C10,99),IF(E15="Safe",C15,99),IF(E20="Safe",C20,99)))</f>
        <v>no good value</v>
      </c>
      <c r="I11" s="108" t="s">
        <v>74</v>
      </c>
    </row>
    <row r="12" spans="1:9" x14ac:dyDescent="0.25">
      <c r="A12" s="144"/>
      <c r="B12" s="104" t="s">
        <v>181</v>
      </c>
      <c r="C12" s="105">
        <f>INDEX('Raw qPCR data'!E:E,1+(MATCH("Chloro Neg",'For software'!B:B,0)),1)</f>
        <v>0</v>
      </c>
      <c r="D12" s="105"/>
      <c r="E12" s="106"/>
      <c r="G12" s="109"/>
      <c r="H12" s="93" t="s">
        <v>227</v>
      </c>
      <c r="I12" s="94" t="s">
        <v>73</v>
      </c>
    </row>
    <row r="13" spans="1:9" x14ac:dyDescent="0.25">
      <c r="A13" s="97"/>
      <c r="B13" s="98"/>
      <c r="C13" s="99"/>
      <c r="D13" s="99"/>
      <c r="E13" s="100"/>
      <c r="G13" s="92" t="s">
        <v>133</v>
      </c>
      <c r="H13" s="93" t="e">
        <f>C5-$H$11</f>
        <v>#VALUE!</v>
      </c>
      <c r="I13" s="95" t="e">
        <f>2^-H13</f>
        <v>#VALUE!</v>
      </c>
    </row>
    <row r="14" spans="1:9" x14ac:dyDescent="0.25">
      <c r="A14" s="145" t="s">
        <v>184</v>
      </c>
      <c r="B14" s="111" t="s">
        <v>178</v>
      </c>
      <c r="C14" s="112">
        <f>IF('Master mixes'!$B$9&lt;5,"N/A",'Raw qPCR data'!E75)</f>
        <v>0</v>
      </c>
      <c r="D14" s="112"/>
      <c r="E14" s="113" t="str">
        <f>IF(C14&gt;($C$17-0.2),"Do not trust value",IF(C14&gt;($C$17-0.75),"Marginal","Safe"))</f>
        <v>Do not trust value</v>
      </c>
      <c r="G14" s="92" t="s">
        <v>186</v>
      </c>
      <c r="H14" s="93" t="e">
        <f>C10-$H$11</f>
        <v>#VALUE!</v>
      </c>
      <c r="I14" s="95" t="e">
        <f>2^-H14</f>
        <v>#VALUE!</v>
      </c>
    </row>
    <row r="15" spans="1:9" x14ac:dyDescent="0.25">
      <c r="A15" s="145"/>
      <c r="B15" s="111" t="s">
        <v>179</v>
      </c>
      <c r="C15" s="112">
        <f>IF('Master mixes'!$B$9&lt;5,"N/A",'Raw qPCR data'!E76)</f>
        <v>0</v>
      </c>
      <c r="D15" s="112">
        <f>C15-C14</f>
        <v>0</v>
      </c>
      <c r="E15" s="113" t="str">
        <f>IF(E14="Do not trust value","Do not trust value",IF(E14="Marginal","Do not trust value", IF(C15&gt;($C$17-0.2),"Do not trust value",IF(C15&gt;($C$17-0.75),"Marginal","Safe"))))</f>
        <v>Do not trust value</v>
      </c>
      <c r="G15" s="92" t="s">
        <v>106</v>
      </c>
      <c r="H15" s="93" t="e">
        <f>C15-$H$11</f>
        <v>#VALUE!</v>
      </c>
      <c r="I15" s="95" t="e">
        <f>2^-H15</f>
        <v>#VALUE!</v>
      </c>
    </row>
    <row r="16" spans="1:9" ht="15.75" thickBot="1" x14ac:dyDescent="0.3">
      <c r="A16" s="145"/>
      <c r="B16" s="111" t="s">
        <v>180</v>
      </c>
      <c r="C16" s="112">
        <f>IF('Master mixes'!$B$9&lt;5,"N/A",'Raw qPCR data'!E77)</f>
        <v>0</v>
      </c>
      <c r="D16" s="112">
        <f>C16-C15</f>
        <v>0</v>
      </c>
      <c r="E16" s="113" t="str">
        <f>IF(E15="Do not trust value","Do not trust value",IF(E15="Marginal","Do not trust value", IF(C16&gt;($C$17-0.2),"Do not trust value",IF(C16&gt;($C$17-0.75),"Marginal","Safe"))))</f>
        <v>Do not trust value</v>
      </c>
      <c r="G16" s="101" t="s">
        <v>135</v>
      </c>
      <c r="H16" s="93" t="e">
        <f>C20-$H$11</f>
        <v>#VALUE!</v>
      </c>
      <c r="I16" s="95" t="e">
        <f>2^-H16</f>
        <v>#VALUE!</v>
      </c>
    </row>
    <row r="17" spans="1:9" ht="15.75" thickBot="1" x14ac:dyDescent="0.3">
      <c r="A17" s="145"/>
      <c r="B17" s="111" t="s">
        <v>181</v>
      </c>
      <c r="C17" s="112">
        <f>INDEX('Raw qPCR data'!E:E,1+(MATCH("Bact Neg",'For software'!B:B,0)),1)</f>
        <v>0</v>
      </c>
      <c r="D17" s="112"/>
      <c r="E17" s="113"/>
    </row>
    <row r="18" spans="1:9" ht="15.75" thickBot="1" x14ac:dyDescent="0.3">
      <c r="A18" s="97"/>
      <c r="B18" s="98"/>
      <c r="C18" s="98"/>
      <c r="D18" s="98"/>
      <c r="E18" s="114"/>
      <c r="G18" s="78"/>
      <c r="H18" s="79" t="s">
        <v>188</v>
      </c>
      <c r="I18" s="80"/>
    </row>
    <row r="19" spans="1:9" x14ac:dyDescent="0.25">
      <c r="A19" s="146" t="s">
        <v>185</v>
      </c>
      <c r="B19" s="115" t="s">
        <v>178</v>
      </c>
      <c r="C19" s="116">
        <f>IF('Master mixes'!$B$9&lt;5,"N/A",'Raw qPCR data'!E87)</f>
        <v>0</v>
      </c>
      <c r="D19" s="116"/>
      <c r="E19" s="117" t="str">
        <f>IF(C19&gt;($C$22-0.2),"Do not trust value",IF(C19&gt;($C$22-0.75),"Marginal","Safe"))</f>
        <v>Do not trust value</v>
      </c>
      <c r="G19" s="86" t="s">
        <v>226</v>
      </c>
      <c r="H19" s="107" t="str">
        <f>IF(MIN(IF(E6="Safe",C6,99), IF(E11="Safe",C11,99),IF(E16="Safe",C16,99),IF(E21="Safe",C21,99))=99,"no good value", MIN(IF(E6="Safe",C6,99), IF(E11="Safe",C11,99),IF(E16="Safe",C16,99),IF(E21="Safe",C21,99)))</f>
        <v>no good value</v>
      </c>
      <c r="I19" s="108" t="s">
        <v>74</v>
      </c>
    </row>
    <row r="20" spans="1:9" x14ac:dyDescent="0.25">
      <c r="A20" s="146"/>
      <c r="B20" s="115" t="s">
        <v>179</v>
      </c>
      <c r="C20" s="116">
        <f>IF('Master mixes'!$B$9&lt;5,"N/A",'Raw qPCR data'!E88)</f>
        <v>0</v>
      </c>
      <c r="D20" s="116">
        <f>C20-C19</f>
        <v>0</v>
      </c>
      <c r="E20" s="117" t="str">
        <f>IF(E19="Do not trust value","Do not trust value",IF(E19="Marginal","Do not trust value", IF(C20&gt;($C$22-0.2),"Do not trust value",IF(C20&gt;($C$22-0.75),"Marginal","Safe"))))</f>
        <v>Do not trust value</v>
      </c>
      <c r="G20" s="109"/>
      <c r="H20" s="93" t="s">
        <v>227</v>
      </c>
      <c r="I20" s="118" t="s">
        <v>73</v>
      </c>
    </row>
    <row r="21" spans="1:9" x14ac:dyDescent="0.25">
      <c r="A21" s="146"/>
      <c r="B21" s="115" t="s">
        <v>180</v>
      </c>
      <c r="C21" s="116">
        <f>IF('Master mixes'!$B$9&lt;5,"N/A",'Raw qPCR data'!E89)</f>
        <v>0</v>
      </c>
      <c r="D21" s="116">
        <f>C21-C20</f>
        <v>0</v>
      </c>
      <c r="E21" s="117" t="str">
        <f>IF(E20="Do not trust value","Do not trust value",IF(E20="Marginal","Do not trust value", IF(C21&gt;($C$22-0.2),"Do not trust value",IF(C21&gt;($C$22-0.75),"Marginal","Safe"))))</f>
        <v>Do not trust value</v>
      </c>
      <c r="G21" s="92" t="s">
        <v>133</v>
      </c>
      <c r="H21" s="93" t="e">
        <f>C6-$H$19</f>
        <v>#VALUE!</v>
      </c>
      <c r="I21" s="95" t="e">
        <f>2^-H21</f>
        <v>#VALUE!</v>
      </c>
    </row>
    <row r="22" spans="1:9" ht="15.75" thickBot="1" x14ac:dyDescent="0.3">
      <c r="A22" s="147"/>
      <c r="B22" s="119" t="s">
        <v>181</v>
      </c>
      <c r="C22" s="120">
        <f>INDEX('Raw qPCR data'!E:E,1+(MATCH("Fungi Neg",'For software'!B:B,0)),1)</f>
        <v>0</v>
      </c>
      <c r="D22" s="120"/>
      <c r="E22" s="121"/>
      <c r="G22" s="92" t="s">
        <v>186</v>
      </c>
      <c r="H22" s="93" t="e">
        <f>C11-$H$19</f>
        <v>#VALUE!</v>
      </c>
      <c r="I22" s="95" t="e">
        <f>2^-H22</f>
        <v>#VALUE!</v>
      </c>
    </row>
    <row r="23" spans="1:9" x14ac:dyDescent="0.25">
      <c r="G23" s="92" t="s">
        <v>106</v>
      </c>
      <c r="H23" s="93" t="e">
        <f>C16-$H$19</f>
        <v>#VALUE!</v>
      </c>
      <c r="I23" s="95" t="e">
        <f>2^-H23</f>
        <v>#VALUE!</v>
      </c>
    </row>
    <row r="24" spans="1:9" ht="15.75" thickBot="1" x14ac:dyDescent="0.3">
      <c r="G24" s="101" t="s">
        <v>135</v>
      </c>
      <c r="H24" s="102" t="e">
        <f>C21-$H$19</f>
        <v>#VALUE!</v>
      </c>
      <c r="I24" s="103" t="e">
        <f>2^-H24</f>
        <v>#VALUE!</v>
      </c>
    </row>
    <row r="25" spans="1:9" x14ac:dyDescent="0.25">
      <c r="F25" s="122"/>
      <c r="G25" s="110"/>
      <c r="H25" s="93"/>
      <c r="I25" s="123"/>
    </row>
    <row r="26" spans="1:9" x14ac:dyDescent="0.25">
      <c r="G26" s="98"/>
      <c r="H26" s="98"/>
      <c r="I26" s="98"/>
    </row>
    <row r="27" spans="1:9" x14ac:dyDescent="0.25">
      <c r="G27" s="98"/>
      <c r="H27" s="98"/>
      <c r="I27" s="98"/>
    </row>
  </sheetData>
  <sheetProtection sheet="1" objects="1" scenarios="1"/>
  <mergeCells count="4">
    <mergeCell ref="A4:A7"/>
    <mergeCell ref="A9:A12"/>
    <mergeCell ref="A14:A17"/>
    <mergeCell ref="A19:A22"/>
  </mergeCells>
  <conditionalFormatting sqref="H13:I13">
    <cfRule type="expression" dxfId="77" priority="9">
      <formula>FIND("Marginal",$E$5,1)</formula>
    </cfRule>
    <cfRule type="expression" dxfId="76" priority="10">
      <formula>FIND("Do not trust value",$E$5,1)</formula>
    </cfRule>
  </conditionalFormatting>
  <conditionalFormatting sqref="H5:I5">
    <cfRule type="expression" dxfId="75" priority="11">
      <formula>FIND("Marginal",$E$4,1)</formula>
    </cfRule>
    <cfRule type="expression" dxfId="74" priority="12">
      <formula>FIND("Do not trust value",$E$4,1)</formula>
    </cfRule>
  </conditionalFormatting>
  <conditionalFormatting sqref="H21:I21">
    <cfRule type="expression" dxfId="73" priority="7">
      <formula>FIND("Marginal",$E$6,1)</formula>
    </cfRule>
    <cfRule type="expression" dxfId="72" priority="8">
      <formula>FIND("Do not trust value",$E$6,1)</formula>
    </cfRule>
  </conditionalFormatting>
  <conditionalFormatting sqref="H22:I22">
    <cfRule type="expression" dxfId="71" priority="5">
      <formula>FIND("Marginal",$E$11,1)</formula>
    </cfRule>
    <cfRule type="expression" dxfId="70" priority="6">
      <formula>FIND("Do not trust value",$E$11,1)</formula>
    </cfRule>
  </conditionalFormatting>
  <conditionalFormatting sqref="H15:I15">
    <cfRule type="expression" dxfId="69" priority="13">
      <formula>FIND("Marginal",$E$15,1)</formula>
    </cfRule>
    <cfRule type="expression" dxfId="68" priority="14">
      <formula>FIND("Do not trust value",$E$15,1)</formula>
    </cfRule>
  </conditionalFormatting>
  <conditionalFormatting sqref="H23:I23">
    <cfRule type="expression" dxfId="67" priority="15">
      <formula>FIND("Marginal",$E$16,1)</formula>
    </cfRule>
    <cfRule type="expression" dxfId="66" priority="16">
      <formula>FIND("Do not trust value",$E$16,1)</formula>
    </cfRule>
  </conditionalFormatting>
  <conditionalFormatting sqref="H7:I7">
    <cfRule type="expression" dxfId="65" priority="17">
      <formula>FIND("Marginal",$E$14,1)</formula>
    </cfRule>
    <cfRule type="expression" dxfId="64" priority="18">
      <formula>FIND("Do not trust value",$E$14,1)</formula>
    </cfRule>
  </conditionalFormatting>
  <conditionalFormatting sqref="H24:I24">
    <cfRule type="expression" dxfId="63" priority="19">
      <formula>FIND("Marginal",$E$21,1)</formula>
    </cfRule>
    <cfRule type="expression" dxfId="62" priority="20">
      <formula>FIND("Do not trust value",$E$21,1)</formula>
    </cfRule>
  </conditionalFormatting>
  <conditionalFormatting sqref="H8:I8">
    <cfRule type="expression" dxfId="61" priority="21">
      <formula>FIND("Marginal",$E$19,1)</formula>
    </cfRule>
    <cfRule type="expression" dxfId="60" priority="22">
      <formula>FIND("Do not trust value",$E$19,1)</formula>
    </cfRule>
  </conditionalFormatting>
  <conditionalFormatting sqref="H16:I16">
    <cfRule type="expression" dxfId="59" priority="23">
      <formula>FIND("Marginal",$E$20,1)</formula>
    </cfRule>
    <cfRule type="expression" dxfId="58" priority="24">
      <formula>FIND("Do not trust value",$E$20,1)</formula>
    </cfRule>
  </conditionalFormatting>
  <conditionalFormatting sqref="H25:I25">
    <cfRule type="expression" dxfId="57" priority="25">
      <formula>FIND("Marginal",#REF!,1)</formula>
    </cfRule>
    <cfRule type="expression" dxfId="56" priority="26">
      <formula>FIND("Do not trust value",#REF!,1)</formula>
    </cfRule>
  </conditionalFormatting>
  <conditionalFormatting sqref="H14:I14">
    <cfRule type="expression" dxfId="55" priority="3">
      <formula>FIND("Marginal",$E$10,1)</formula>
    </cfRule>
    <cfRule type="expression" dxfId="54" priority="4">
      <formula>FIND("Do not trust value",$E$10,1)</formula>
    </cfRule>
  </conditionalFormatting>
  <conditionalFormatting sqref="H6:I6">
    <cfRule type="expression" dxfId="53" priority="1">
      <formula>FIND("Marginal",$E$9,1)</formula>
    </cfRule>
    <cfRule type="expression" dxfId="52" priority="2">
      <formula>FIND("Do not trust value",$E$9,1)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5" x14ac:dyDescent="0.25"/>
  <cols>
    <col min="1" max="1" width="16.28515625" style="70" customWidth="1"/>
    <col min="2" max="2" width="17.42578125" style="70" customWidth="1"/>
    <col min="3" max="3" width="8.28515625" style="70" customWidth="1"/>
    <col min="4" max="4" width="18.7109375" style="70" customWidth="1"/>
    <col min="5" max="5" width="17.7109375" style="70" customWidth="1"/>
    <col min="6" max="6" width="2.85546875" style="70" customWidth="1"/>
    <col min="7" max="7" width="15.140625" style="70" customWidth="1"/>
    <col min="8" max="8" width="18.28515625" style="70" customWidth="1"/>
    <col min="9" max="9" width="26" style="70" customWidth="1"/>
    <col min="10" max="16384" width="9.140625" style="70"/>
  </cols>
  <sheetData>
    <row r="1" spans="1:9" ht="15.75" thickBot="1" x14ac:dyDescent="0.3">
      <c r="B1" s="70" t="s">
        <v>127</v>
      </c>
      <c r="D1" s="77" t="str">
        <f>IF('Master mixes'!B7=0,"NONE",'Master mixes'!B7)</f>
        <v>sample 6</v>
      </c>
    </row>
    <row r="2" spans="1:9" ht="15.75" thickBot="1" x14ac:dyDescent="0.3">
      <c r="G2" s="78"/>
      <c r="H2" s="79" t="s">
        <v>178</v>
      </c>
      <c r="I2" s="80"/>
    </row>
    <row r="3" spans="1:9" ht="30" x14ac:dyDescent="0.25">
      <c r="A3" s="81" t="s">
        <v>99</v>
      </c>
      <c r="B3" s="82" t="s">
        <v>3</v>
      </c>
      <c r="C3" s="83" t="s">
        <v>223</v>
      </c>
      <c r="D3" s="84" t="s">
        <v>72</v>
      </c>
      <c r="E3" s="85" t="s">
        <v>225</v>
      </c>
      <c r="G3" s="86" t="s">
        <v>226</v>
      </c>
      <c r="H3" s="87" t="str">
        <f>IF(MIN(IF(E4="Safe",C4,99),IF(E9="Safe",C9,99),IF(E14="Safe",C14,99),IF(E19="Safe",C19,99))=99,"no good value",MIN(IF(E4="Safe",C4,99),IF(E9="Safe",C9,99),IF(E14="Safe",C14,99),IF(E19="Safe",C19,99)))</f>
        <v>no good value</v>
      </c>
      <c r="I3" s="88" t="s">
        <v>74</v>
      </c>
    </row>
    <row r="4" spans="1:9" ht="15" customHeight="1" x14ac:dyDescent="0.25">
      <c r="A4" s="143" t="s">
        <v>182</v>
      </c>
      <c r="B4" s="89" t="s">
        <v>178</v>
      </c>
      <c r="C4" s="90">
        <f>IF('Master mixes'!$B$9&lt;6,"N/A",'Raw qPCR data'!E54)</f>
        <v>0</v>
      </c>
      <c r="D4" s="90"/>
      <c r="E4" s="91" t="str">
        <f>IF(C4&gt;($C$7-0.2),"Do not trust value",IF(C4&gt;($C$7-0.75),"Marginal","Safe"))</f>
        <v>Do not trust value</v>
      </c>
      <c r="G4" s="92"/>
      <c r="H4" s="93" t="s">
        <v>227</v>
      </c>
      <c r="I4" s="94" t="s">
        <v>73</v>
      </c>
    </row>
    <row r="5" spans="1:9" x14ac:dyDescent="0.25">
      <c r="A5" s="143"/>
      <c r="B5" s="89" t="s">
        <v>179</v>
      </c>
      <c r="C5" s="90">
        <f>IF('Master mixes'!$B$9&lt;6,"N/A",'Raw qPCR data'!E55)</f>
        <v>0</v>
      </c>
      <c r="D5" s="90">
        <f>C5-C4</f>
        <v>0</v>
      </c>
      <c r="E5" s="91" t="str">
        <f>IF(E4="Do not trust value","Do not trust value",IF(E4="Marginal","Do not trust value", IF(C5&gt;($C$7-0.2),"Do not trust value",IF(C5&gt;($C$7-0.75),"Marginal","Safe"))))</f>
        <v>Do not trust value</v>
      </c>
      <c r="G5" s="92" t="s">
        <v>133</v>
      </c>
      <c r="H5" s="93" t="e">
        <f>C4-$H$3</f>
        <v>#VALUE!</v>
      </c>
      <c r="I5" s="95" t="e">
        <f>2^-H5</f>
        <v>#VALUE!</v>
      </c>
    </row>
    <row r="6" spans="1:9" x14ac:dyDescent="0.25">
      <c r="A6" s="143"/>
      <c r="B6" s="89" t="s">
        <v>180</v>
      </c>
      <c r="C6" s="90">
        <f>IF('Master mixes'!$B$9&lt;6,"N/A",'Raw qPCR data'!E56)</f>
        <v>0</v>
      </c>
      <c r="D6" s="90">
        <f>C6-C5</f>
        <v>0</v>
      </c>
      <c r="E6" s="91" t="str">
        <f>IF(E5="Do not trust value","Do not trust value",IF(E5="Marginal","Do not trust value", IF(C6&gt;($C$7-0.2),"Do not trust value",IF(C6&gt;($C$7-0.75),"Marginal","Safe"))))</f>
        <v>Do not trust value</v>
      </c>
      <c r="G6" s="92" t="s">
        <v>186</v>
      </c>
      <c r="H6" s="93" t="e">
        <f>C9-$H$3</f>
        <v>#VALUE!</v>
      </c>
      <c r="I6" s="95" t="e">
        <f>2^-H6</f>
        <v>#VALUE!</v>
      </c>
    </row>
    <row r="7" spans="1:9" x14ac:dyDescent="0.25">
      <c r="A7" s="143"/>
      <c r="B7" s="96" t="s">
        <v>181</v>
      </c>
      <c r="C7" s="90">
        <f>INDEX('Raw qPCR data'!E:E,1+(MATCH("Nucl Neg",'For software'!B:B,0)),1)</f>
        <v>0</v>
      </c>
      <c r="D7" s="90"/>
      <c r="E7" s="91"/>
      <c r="G7" s="92" t="s">
        <v>106</v>
      </c>
      <c r="H7" s="93" t="e">
        <f>C14-$H$3</f>
        <v>#VALUE!</v>
      </c>
      <c r="I7" s="95" t="e">
        <f>2^-H7</f>
        <v>#VALUE!</v>
      </c>
    </row>
    <row r="8" spans="1:9" ht="15.75" thickBot="1" x14ac:dyDescent="0.3">
      <c r="A8" s="97"/>
      <c r="B8" s="98"/>
      <c r="C8" s="99"/>
      <c r="D8" s="99"/>
      <c r="E8" s="100"/>
      <c r="G8" s="101" t="s">
        <v>135</v>
      </c>
      <c r="H8" s="102" t="e">
        <f>C19-$H$3</f>
        <v>#VALUE!</v>
      </c>
      <c r="I8" s="103" t="e">
        <f>2^-H8</f>
        <v>#VALUE!</v>
      </c>
    </row>
    <row r="9" spans="1:9" ht="15.75" thickBot="1" x14ac:dyDescent="0.3">
      <c r="A9" s="144" t="s">
        <v>183</v>
      </c>
      <c r="B9" s="104" t="s">
        <v>178</v>
      </c>
      <c r="C9" s="105">
        <f>IF('Master mixes'!$B$9&lt;6,"N/A",'Raw qPCR data'!E66)</f>
        <v>0</v>
      </c>
      <c r="D9" s="105"/>
      <c r="E9" s="106" t="str">
        <f>IF(C9&gt;(C12-0.2),"Do not trust value",IF(C9&gt;(C12-0.75),"Marginal","Safe"))</f>
        <v>Do not trust value</v>
      </c>
    </row>
    <row r="10" spans="1:9" ht="15.75" thickBot="1" x14ac:dyDescent="0.3">
      <c r="A10" s="144"/>
      <c r="B10" s="104" t="s">
        <v>179</v>
      </c>
      <c r="C10" s="105">
        <f>IF('Master mixes'!$B$9&lt;6,"N/A",'Raw qPCR data'!E67)</f>
        <v>0</v>
      </c>
      <c r="D10" s="105">
        <f>C10-C9</f>
        <v>0</v>
      </c>
      <c r="E10" s="106" t="str">
        <f>IF(E9="Do not trust value","Do not trust value",IF(E9="Marginal","Do not trust value", IF(C10&gt;(C12-0.2),"Do not trust value",IF(C10&gt;(C12-0.75),"Marginal","Safe"))))</f>
        <v>Do not trust value</v>
      </c>
      <c r="G10" s="78"/>
      <c r="H10" s="79" t="s">
        <v>187</v>
      </c>
      <c r="I10" s="80"/>
    </row>
    <row r="11" spans="1:9" x14ac:dyDescent="0.25">
      <c r="A11" s="144"/>
      <c r="B11" s="104" t="s">
        <v>180</v>
      </c>
      <c r="C11" s="105">
        <f>IF('Master mixes'!$B$9&lt;6,"N/A",'Raw qPCR data'!E68)</f>
        <v>0</v>
      </c>
      <c r="D11" s="105">
        <f>C11-C10</f>
        <v>0</v>
      </c>
      <c r="E11" s="106" t="str">
        <f>IF(E10="Do not trust value","Do not trust value",IF(E10="Marginal","Do not trust value", IF(C11&gt;(C12-0.2),"Do not trust value",IF(C11&gt;(C12-0.75),"Marginal","Safe"))))</f>
        <v>Do not trust value</v>
      </c>
      <c r="G11" s="86" t="s">
        <v>226</v>
      </c>
      <c r="H11" s="107" t="str">
        <f>IF(MIN(IF(E5="Safe",C5,99),IF(E10="Safe",C10,99),IF(E15="Safe",C15,99),IF(E20="Safe",C20,99))=99,"no good value",MIN(IF(E5="Safe",C5,99),IF(E10="Safe",C10,99),IF(E15="Safe",C15,99),IF(E20="Safe",C20,99)))</f>
        <v>no good value</v>
      </c>
      <c r="I11" s="108" t="s">
        <v>74</v>
      </c>
    </row>
    <row r="12" spans="1:9" x14ac:dyDescent="0.25">
      <c r="A12" s="144"/>
      <c r="B12" s="104" t="s">
        <v>181</v>
      </c>
      <c r="C12" s="105">
        <f>INDEX('Raw qPCR data'!E:E,1+(MATCH("Chloro Neg",'For software'!B:B,0)),1)</f>
        <v>0</v>
      </c>
      <c r="D12" s="105"/>
      <c r="E12" s="106"/>
      <c r="G12" s="109"/>
      <c r="H12" s="93" t="s">
        <v>227</v>
      </c>
      <c r="I12" s="94" t="s">
        <v>73</v>
      </c>
    </row>
    <row r="13" spans="1:9" x14ac:dyDescent="0.25">
      <c r="A13" s="97"/>
      <c r="B13" s="98"/>
      <c r="C13" s="99"/>
      <c r="D13" s="99"/>
      <c r="E13" s="100"/>
      <c r="G13" s="92" t="s">
        <v>133</v>
      </c>
      <c r="H13" s="93" t="e">
        <f>C5-$H$11</f>
        <v>#VALUE!</v>
      </c>
      <c r="I13" s="95" t="e">
        <f>2^-H13</f>
        <v>#VALUE!</v>
      </c>
    </row>
    <row r="14" spans="1:9" x14ac:dyDescent="0.25">
      <c r="A14" s="145" t="s">
        <v>184</v>
      </c>
      <c r="B14" s="111" t="s">
        <v>178</v>
      </c>
      <c r="C14" s="112">
        <f>IF('Master mixes'!$B$9&lt;6,"N/A",'Raw qPCR data'!E78)</f>
        <v>0</v>
      </c>
      <c r="D14" s="112"/>
      <c r="E14" s="113" t="str">
        <f>IF(C14&gt;($C$17-0.2),"Do not trust value",IF(C14&gt;($C$17-0.75),"Marginal","Safe"))</f>
        <v>Do not trust value</v>
      </c>
      <c r="G14" s="92" t="s">
        <v>186</v>
      </c>
      <c r="H14" s="93" t="e">
        <f>C10-$H$11</f>
        <v>#VALUE!</v>
      </c>
      <c r="I14" s="95" t="e">
        <f>2^-H14</f>
        <v>#VALUE!</v>
      </c>
    </row>
    <row r="15" spans="1:9" x14ac:dyDescent="0.25">
      <c r="A15" s="145"/>
      <c r="B15" s="111" t="s">
        <v>179</v>
      </c>
      <c r="C15" s="112">
        <f>IF('Master mixes'!$B$9&lt;6,"N/A",'Raw qPCR data'!E79)</f>
        <v>0</v>
      </c>
      <c r="D15" s="112">
        <f>C15-C14</f>
        <v>0</v>
      </c>
      <c r="E15" s="113" t="str">
        <f>IF(E14="Do not trust value","Do not trust value",IF(E14="Marginal","Do not trust value", IF(C15&gt;($C$17-0.2),"Do not trust value",IF(C15&gt;($C$17-0.75),"Marginal","Safe"))))</f>
        <v>Do not trust value</v>
      </c>
      <c r="G15" s="92" t="s">
        <v>106</v>
      </c>
      <c r="H15" s="93" t="e">
        <f>C15-$H$11</f>
        <v>#VALUE!</v>
      </c>
      <c r="I15" s="95" t="e">
        <f>2^-H15</f>
        <v>#VALUE!</v>
      </c>
    </row>
    <row r="16" spans="1:9" ht="15.75" thickBot="1" x14ac:dyDescent="0.3">
      <c r="A16" s="145"/>
      <c r="B16" s="111" t="s">
        <v>180</v>
      </c>
      <c r="C16" s="112">
        <f>IF('Master mixes'!$B$9&lt;6,"N/A",'Raw qPCR data'!E80)</f>
        <v>0</v>
      </c>
      <c r="D16" s="112">
        <f>C16-C15</f>
        <v>0</v>
      </c>
      <c r="E16" s="113" t="str">
        <f>IF(E15="Do not trust value","Do not trust value",IF(E15="Marginal","Do not trust value", IF(C16&gt;($C$17-0.2),"Do not trust value",IF(C16&gt;($C$17-0.75),"Marginal","Safe"))))</f>
        <v>Do not trust value</v>
      </c>
      <c r="G16" s="101" t="s">
        <v>135</v>
      </c>
      <c r="H16" s="93" t="e">
        <f>C20-$H$11</f>
        <v>#VALUE!</v>
      </c>
      <c r="I16" s="95" t="e">
        <f>2^-H16</f>
        <v>#VALUE!</v>
      </c>
    </row>
    <row r="17" spans="1:9" ht="15.75" thickBot="1" x14ac:dyDescent="0.3">
      <c r="A17" s="145"/>
      <c r="B17" s="111" t="s">
        <v>181</v>
      </c>
      <c r="C17" s="112">
        <f>INDEX('Raw qPCR data'!E:E,1+(MATCH("Bact Neg",'For software'!B:B,0)),1)</f>
        <v>0</v>
      </c>
      <c r="D17" s="112"/>
      <c r="E17" s="113"/>
    </row>
    <row r="18" spans="1:9" ht="15.75" thickBot="1" x14ac:dyDescent="0.3">
      <c r="A18" s="97"/>
      <c r="B18" s="98"/>
      <c r="C18" s="98"/>
      <c r="D18" s="98"/>
      <c r="E18" s="114"/>
      <c r="G18" s="78"/>
      <c r="H18" s="79" t="s">
        <v>188</v>
      </c>
      <c r="I18" s="80"/>
    </row>
    <row r="19" spans="1:9" x14ac:dyDescent="0.25">
      <c r="A19" s="146" t="s">
        <v>185</v>
      </c>
      <c r="B19" s="115" t="s">
        <v>178</v>
      </c>
      <c r="C19" s="116">
        <f>IF('Master mixes'!$B$9&lt;6,"N/A",'Raw qPCR data'!E90)</f>
        <v>0</v>
      </c>
      <c r="D19" s="116"/>
      <c r="E19" s="117" t="str">
        <f>IF(C19&gt;($C$22-0.2),"Do not trust value",IF(C19&gt;($C$22-0.75),"Marginal","Safe"))</f>
        <v>Do not trust value</v>
      </c>
      <c r="G19" s="86" t="s">
        <v>226</v>
      </c>
      <c r="H19" s="107" t="str">
        <f>IF(MIN(IF(E6="Safe",C6,99), IF(E11="Safe",C11,99),IF(E16="Safe",C16,99),IF(E21="Safe",C21,99))=99,"no good value", MIN(IF(E6="Safe",C6,99), IF(E11="Safe",C11,99),IF(E16="Safe",C16,99),IF(E21="Safe",C21,99)))</f>
        <v>no good value</v>
      </c>
      <c r="I19" s="108" t="s">
        <v>74</v>
      </c>
    </row>
    <row r="20" spans="1:9" x14ac:dyDescent="0.25">
      <c r="A20" s="146"/>
      <c r="B20" s="115" t="s">
        <v>179</v>
      </c>
      <c r="C20" s="116">
        <f>IF('Master mixes'!$B$9&lt;6,"N/A",'Raw qPCR data'!E91)</f>
        <v>0</v>
      </c>
      <c r="D20" s="116">
        <f>C20-C19</f>
        <v>0</v>
      </c>
      <c r="E20" s="117" t="str">
        <f>IF(E19="Do not trust value","Do not trust value",IF(E19="Marginal","Do not trust value", IF(C20&gt;($C$22-0.2),"Do not trust value",IF(C20&gt;($C$22-0.75),"Marginal","Safe"))))</f>
        <v>Do not trust value</v>
      </c>
      <c r="G20" s="109"/>
      <c r="H20" s="93" t="s">
        <v>227</v>
      </c>
      <c r="I20" s="118" t="s">
        <v>73</v>
      </c>
    </row>
    <row r="21" spans="1:9" x14ac:dyDescent="0.25">
      <c r="A21" s="146"/>
      <c r="B21" s="115" t="s">
        <v>180</v>
      </c>
      <c r="C21" s="116">
        <f>IF('Master mixes'!$B$9&lt;6,"N/A",'Raw qPCR data'!E92)</f>
        <v>0</v>
      </c>
      <c r="D21" s="116">
        <f>C21-C20</f>
        <v>0</v>
      </c>
      <c r="E21" s="117" t="str">
        <f>IF(E20="Do not trust value","Do not trust value",IF(E20="Marginal","Do not trust value", IF(C21&gt;($C$22-0.2),"Do not trust value",IF(C21&gt;($C$22-0.75),"Marginal","Safe"))))</f>
        <v>Do not trust value</v>
      </c>
      <c r="G21" s="92" t="s">
        <v>133</v>
      </c>
      <c r="H21" s="93" t="e">
        <f>C6-$H$19</f>
        <v>#VALUE!</v>
      </c>
      <c r="I21" s="95" t="e">
        <f>2^-H21</f>
        <v>#VALUE!</v>
      </c>
    </row>
    <row r="22" spans="1:9" ht="15.75" thickBot="1" x14ac:dyDescent="0.3">
      <c r="A22" s="147"/>
      <c r="B22" s="119" t="s">
        <v>181</v>
      </c>
      <c r="C22" s="120">
        <f>INDEX('Raw qPCR data'!E:E,1+(MATCH("Fungi Neg",'For software'!B:B,0)),1)</f>
        <v>0</v>
      </c>
      <c r="D22" s="120"/>
      <c r="E22" s="121"/>
      <c r="G22" s="92" t="s">
        <v>186</v>
      </c>
      <c r="H22" s="93" t="e">
        <f>C11-$H$19</f>
        <v>#VALUE!</v>
      </c>
      <c r="I22" s="95" t="e">
        <f>2^-H22</f>
        <v>#VALUE!</v>
      </c>
    </row>
    <row r="23" spans="1:9" x14ac:dyDescent="0.25">
      <c r="G23" s="92" t="s">
        <v>106</v>
      </c>
      <c r="H23" s="93" t="e">
        <f>C16-$H$19</f>
        <v>#VALUE!</v>
      </c>
      <c r="I23" s="95" t="e">
        <f>2^-H23</f>
        <v>#VALUE!</v>
      </c>
    </row>
    <row r="24" spans="1:9" ht="15.75" thickBot="1" x14ac:dyDescent="0.3">
      <c r="G24" s="101" t="s">
        <v>135</v>
      </c>
      <c r="H24" s="102" t="e">
        <f>C21-$H$19</f>
        <v>#VALUE!</v>
      </c>
      <c r="I24" s="103" t="e">
        <f>2^-H24</f>
        <v>#VALUE!</v>
      </c>
    </row>
    <row r="25" spans="1:9" x14ac:dyDescent="0.25">
      <c r="F25" s="122"/>
      <c r="G25" s="110"/>
      <c r="H25" s="93"/>
      <c r="I25" s="123"/>
    </row>
    <row r="26" spans="1:9" x14ac:dyDescent="0.25">
      <c r="G26" s="98"/>
      <c r="H26" s="98"/>
      <c r="I26" s="98"/>
    </row>
    <row r="27" spans="1:9" x14ac:dyDescent="0.25">
      <c r="G27" s="98"/>
      <c r="H27" s="98"/>
      <c r="I27" s="98"/>
    </row>
  </sheetData>
  <sheetProtection sheet="1" objects="1" scenarios="1"/>
  <mergeCells count="4">
    <mergeCell ref="A4:A7"/>
    <mergeCell ref="A9:A12"/>
    <mergeCell ref="A14:A17"/>
    <mergeCell ref="A19:A22"/>
  </mergeCells>
  <conditionalFormatting sqref="H13:I13">
    <cfRule type="expression" dxfId="51" priority="9">
      <formula>FIND("Marginal",$E$5,1)</formula>
    </cfRule>
    <cfRule type="expression" dxfId="50" priority="10">
      <formula>FIND("Do not trust value",$E$5,1)</formula>
    </cfRule>
  </conditionalFormatting>
  <conditionalFormatting sqref="H5:I5">
    <cfRule type="expression" dxfId="49" priority="11">
      <formula>FIND("Marginal",$E$4,1)</formula>
    </cfRule>
    <cfRule type="expression" dxfId="48" priority="12">
      <formula>FIND("Do not trust value",$E$4,1)</formula>
    </cfRule>
  </conditionalFormatting>
  <conditionalFormatting sqref="H21:I21">
    <cfRule type="expression" dxfId="47" priority="7">
      <formula>FIND("Marginal",$E$6,1)</formula>
    </cfRule>
    <cfRule type="expression" dxfId="46" priority="8">
      <formula>FIND("Do not trust value",$E$6,1)</formula>
    </cfRule>
  </conditionalFormatting>
  <conditionalFormatting sqref="H22:I22">
    <cfRule type="expression" dxfId="45" priority="5">
      <formula>FIND("Marginal",$E$11,1)</formula>
    </cfRule>
    <cfRule type="expression" dxfId="44" priority="6">
      <formula>FIND("Do not trust value",$E$11,1)</formula>
    </cfRule>
  </conditionalFormatting>
  <conditionalFormatting sqref="H15:I15">
    <cfRule type="expression" dxfId="43" priority="13">
      <formula>FIND("Marginal",$E$15,1)</formula>
    </cfRule>
    <cfRule type="expression" dxfId="42" priority="14">
      <formula>FIND("Do not trust value",$E$15,1)</formula>
    </cfRule>
  </conditionalFormatting>
  <conditionalFormatting sqref="H23:I23">
    <cfRule type="expression" dxfId="41" priority="15">
      <formula>FIND("Marginal",$E$16,1)</formula>
    </cfRule>
    <cfRule type="expression" dxfId="40" priority="16">
      <formula>FIND("Do not trust value",$E$16,1)</formula>
    </cfRule>
  </conditionalFormatting>
  <conditionalFormatting sqref="H7:I7">
    <cfRule type="expression" dxfId="39" priority="17">
      <formula>FIND("Marginal",$E$14,1)</formula>
    </cfRule>
    <cfRule type="expression" dxfId="38" priority="18">
      <formula>FIND("Do not trust value",$E$14,1)</formula>
    </cfRule>
  </conditionalFormatting>
  <conditionalFormatting sqref="H24:I24">
    <cfRule type="expression" dxfId="37" priority="19">
      <formula>FIND("Marginal",$E$21,1)</formula>
    </cfRule>
    <cfRule type="expression" dxfId="36" priority="20">
      <formula>FIND("Do not trust value",$E$21,1)</formula>
    </cfRule>
  </conditionalFormatting>
  <conditionalFormatting sqref="H8:I8">
    <cfRule type="expression" dxfId="35" priority="21">
      <formula>FIND("Marginal",$E$19,1)</formula>
    </cfRule>
    <cfRule type="expression" dxfId="34" priority="22">
      <formula>FIND("Do not trust value",$E$19,1)</formula>
    </cfRule>
  </conditionalFormatting>
  <conditionalFormatting sqref="H16:I16">
    <cfRule type="expression" dxfId="33" priority="23">
      <formula>FIND("Marginal",$E$20,1)</formula>
    </cfRule>
    <cfRule type="expression" dxfId="32" priority="24">
      <formula>FIND("Do not trust value",$E$20,1)</formula>
    </cfRule>
  </conditionalFormatting>
  <conditionalFormatting sqref="H25:I25">
    <cfRule type="expression" dxfId="31" priority="25">
      <formula>FIND("Marginal",#REF!,1)</formula>
    </cfRule>
    <cfRule type="expression" dxfId="30" priority="26">
      <formula>FIND("Do not trust value",#REF!,1)</formula>
    </cfRule>
  </conditionalFormatting>
  <conditionalFormatting sqref="H14:I14">
    <cfRule type="expression" dxfId="29" priority="3">
      <formula>FIND("Marginal",$E$10,1)</formula>
    </cfRule>
    <cfRule type="expression" dxfId="28" priority="4">
      <formula>FIND("Do not trust value",$E$10,1)</formula>
    </cfRule>
  </conditionalFormatting>
  <conditionalFormatting sqref="H6:I6">
    <cfRule type="expression" dxfId="27" priority="1">
      <formula>FIND("Marginal",$E$9,1)</formula>
    </cfRule>
    <cfRule type="expression" dxfId="26" priority="2">
      <formula>FIND("Do not trust value",$E$9,1)</formula>
    </cfRule>
  </conditionalFormatting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5" x14ac:dyDescent="0.25"/>
  <cols>
    <col min="1" max="1" width="16.28515625" style="70" customWidth="1"/>
    <col min="2" max="2" width="17.42578125" style="70" customWidth="1"/>
    <col min="3" max="3" width="8.28515625" style="70" customWidth="1"/>
    <col min="4" max="4" width="18.7109375" style="70" customWidth="1"/>
    <col min="5" max="5" width="17.7109375" style="70" customWidth="1"/>
    <col min="6" max="6" width="2.85546875" style="70" customWidth="1"/>
    <col min="7" max="7" width="15.140625" style="70" customWidth="1"/>
    <col min="8" max="8" width="18.28515625" style="70" customWidth="1"/>
    <col min="9" max="9" width="26" style="70" customWidth="1"/>
    <col min="10" max="16384" width="9.140625" style="70"/>
  </cols>
  <sheetData>
    <row r="1" spans="1:9" ht="15.75" thickBot="1" x14ac:dyDescent="0.3">
      <c r="B1" s="70" t="s">
        <v>128</v>
      </c>
      <c r="D1" s="77" t="str">
        <f>IF('Master mixes'!B8=0,"NONE",'Master mixes'!B8)</f>
        <v>sample 7</v>
      </c>
    </row>
    <row r="2" spans="1:9" ht="15.75" thickBot="1" x14ac:dyDescent="0.3">
      <c r="G2" s="78"/>
      <c r="H2" s="79" t="s">
        <v>178</v>
      </c>
      <c r="I2" s="80"/>
    </row>
    <row r="3" spans="1:9" ht="30" x14ac:dyDescent="0.25">
      <c r="A3" s="81" t="s">
        <v>99</v>
      </c>
      <c r="B3" s="82" t="s">
        <v>3</v>
      </c>
      <c r="C3" s="83" t="s">
        <v>223</v>
      </c>
      <c r="D3" s="84" t="s">
        <v>72</v>
      </c>
      <c r="E3" s="85" t="s">
        <v>225</v>
      </c>
      <c r="G3" s="86" t="s">
        <v>226</v>
      </c>
      <c r="H3" s="87" t="str">
        <f>IF(MIN(IF(E4="Safe",C4,99),IF(E9="Safe",C9,99),IF(E14="Safe",C14,99),IF(E19="Safe",C19,99))=99,"no good value",MIN(IF(E4="Safe",C4,99),IF(E9="Safe",C9,99),IF(E14="Safe",C14,99),IF(E19="Safe",C19,99)))</f>
        <v>no good value</v>
      </c>
      <c r="I3" s="88" t="s">
        <v>74</v>
      </c>
    </row>
    <row r="4" spans="1:9" ht="15" customHeight="1" x14ac:dyDescent="0.25">
      <c r="A4" s="143" t="s">
        <v>182</v>
      </c>
      <c r="B4" s="89" t="s">
        <v>178</v>
      </c>
      <c r="C4" s="90">
        <f>IF('Master mixes'!$B$9&lt;7,"N/A",'Raw qPCR data'!E57)</f>
        <v>0</v>
      </c>
      <c r="D4" s="90"/>
      <c r="E4" s="91" t="str">
        <f>IF(C4&gt;($C$7-0.2),"Do not trust value",IF(C4&gt;($C$7-0.75),"Marginal","Safe"))</f>
        <v>Do not trust value</v>
      </c>
      <c r="G4" s="92"/>
      <c r="H4" s="93" t="s">
        <v>227</v>
      </c>
      <c r="I4" s="94" t="s">
        <v>73</v>
      </c>
    </row>
    <row r="5" spans="1:9" x14ac:dyDescent="0.25">
      <c r="A5" s="143"/>
      <c r="B5" s="89" t="s">
        <v>179</v>
      </c>
      <c r="C5" s="90">
        <f>IF('Master mixes'!$B$9&lt;7,"N/A",'Raw qPCR data'!E58)</f>
        <v>0</v>
      </c>
      <c r="D5" s="90">
        <f>C5-C4</f>
        <v>0</v>
      </c>
      <c r="E5" s="91" t="str">
        <f>IF(E4="Do not trust value","Do not trust value",IF(E4="Marginal","Do not trust value", IF(C5&gt;($C$7-0.2),"Do not trust value",IF(C5&gt;($C$7-0.75),"Marginal","Safe"))))</f>
        <v>Do not trust value</v>
      </c>
      <c r="G5" s="92" t="s">
        <v>133</v>
      </c>
      <c r="H5" s="93" t="e">
        <f>C4-$H$3</f>
        <v>#VALUE!</v>
      </c>
      <c r="I5" s="95" t="e">
        <f>2^-H5</f>
        <v>#VALUE!</v>
      </c>
    </row>
    <row r="6" spans="1:9" x14ac:dyDescent="0.25">
      <c r="A6" s="143"/>
      <c r="B6" s="89" t="s">
        <v>180</v>
      </c>
      <c r="C6" s="90">
        <f>IF('Master mixes'!$B$9&lt;7,"N/A",'Raw qPCR data'!E59)</f>
        <v>0</v>
      </c>
      <c r="D6" s="90">
        <f>C6-C5</f>
        <v>0</v>
      </c>
      <c r="E6" s="91" t="str">
        <f>IF(E5="Do not trust value","Do not trust value",IF(E5="Marginal","Do not trust value", IF(C6&gt;($C$7-0.2),"Do not trust value",IF(C6&gt;($C$7-0.75),"Marginal","Safe"))))</f>
        <v>Do not trust value</v>
      </c>
      <c r="G6" s="92" t="s">
        <v>186</v>
      </c>
      <c r="H6" s="93" t="e">
        <f>C9-$H$3</f>
        <v>#VALUE!</v>
      </c>
      <c r="I6" s="95" t="e">
        <f>2^-H6</f>
        <v>#VALUE!</v>
      </c>
    </row>
    <row r="7" spans="1:9" x14ac:dyDescent="0.25">
      <c r="A7" s="143"/>
      <c r="B7" s="96" t="s">
        <v>181</v>
      </c>
      <c r="C7" s="90">
        <f>INDEX('Raw qPCR data'!E:E,1+(MATCH("Nucl Neg",'For software'!B:B,0)),1)</f>
        <v>0</v>
      </c>
      <c r="D7" s="90"/>
      <c r="E7" s="91"/>
      <c r="G7" s="92" t="s">
        <v>106</v>
      </c>
      <c r="H7" s="93" t="e">
        <f>C14-$H$3</f>
        <v>#VALUE!</v>
      </c>
      <c r="I7" s="95" t="e">
        <f>2^-H7</f>
        <v>#VALUE!</v>
      </c>
    </row>
    <row r="8" spans="1:9" ht="15.75" thickBot="1" x14ac:dyDescent="0.3">
      <c r="A8" s="97"/>
      <c r="B8" s="98"/>
      <c r="C8" s="99"/>
      <c r="D8" s="99"/>
      <c r="E8" s="100"/>
      <c r="G8" s="101" t="s">
        <v>135</v>
      </c>
      <c r="H8" s="102" t="e">
        <f>C19-$H$3</f>
        <v>#VALUE!</v>
      </c>
      <c r="I8" s="103" t="e">
        <f>2^-H8</f>
        <v>#VALUE!</v>
      </c>
    </row>
    <row r="9" spans="1:9" ht="15.75" thickBot="1" x14ac:dyDescent="0.3">
      <c r="A9" s="144" t="s">
        <v>183</v>
      </c>
      <c r="B9" s="104" t="s">
        <v>178</v>
      </c>
      <c r="C9" s="105">
        <f>IF('Master mixes'!$B$9&lt;7,"N/A",'Raw qPCR data'!E69)</f>
        <v>0</v>
      </c>
      <c r="D9" s="105"/>
      <c r="E9" s="106" t="str">
        <f>IF(C9&gt;(C12-0.2),"Do not trust value",IF(C9&gt;(C12-0.75),"Marginal","Safe"))</f>
        <v>Do not trust value</v>
      </c>
    </row>
    <row r="10" spans="1:9" ht="15.75" thickBot="1" x14ac:dyDescent="0.3">
      <c r="A10" s="144"/>
      <c r="B10" s="104" t="s">
        <v>179</v>
      </c>
      <c r="C10" s="105">
        <f>IF('Master mixes'!$B$9&lt;7,"N/A",'Raw qPCR data'!E70)</f>
        <v>0</v>
      </c>
      <c r="D10" s="105">
        <f>C10-C9</f>
        <v>0</v>
      </c>
      <c r="E10" s="106" t="str">
        <f>IF(E9="Do not trust value","Do not trust value",IF(E9="Marginal","Do not trust value", IF(C10&gt;(C12-0.2),"Do not trust value",IF(C10&gt;(C12-0.75),"Marginal","Safe"))))</f>
        <v>Do not trust value</v>
      </c>
      <c r="G10" s="78"/>
      <c r="H10" s="79" t="s">
        <v>187</v>
      </c>
      <c r="I10" s="80"/>
    </row>
    <row r="11" spans="1:9" x14ac:dyDescent="0.25">
      <c r="A11" s="144"/>
      <c r="B11" s="104" t="s">
        <v>180</v>
      </c>
      <c r="C11" s="105">
        <f>IF('Master mixes'!$B$9&lt;7,"N/A",'Raw qPCR data'!E71)</f>
        <v>0</v>
      </c>
      <c r="D11" s="105">
        <f>C11-C10</f>
        <v>0</v>
      </c>
      <c r="E11" s="106" t="str">
        <f>IF(E10="Do not trust value","Do not trust value",IF(E10="Marginal","Do not trust value", IF(C11&gt;(C12-0.2),"Do not trust value",IF(C11&gt;(C12-0.75),"Marginal","Safe"))))</f>
        <v>Do not trust value</v>
      </c>
      <c r="G11" s="86" t="s">
        <v>226</v>
      </c>
      <c r="H11" s="107" t="str">
        <f>IF(MIN(IF(E5="Safe",C5,99),IF(E10="Safe",C10,99),IF(E15="Safe",C15,99),IF(E20="Safe",C20,99))=99,"no good value",MIN(IF(E5="Safe",C5,99),IF(E10="Safe",C10,99),IF(E15="Safe",C15,99),IF(E20="Safe",C20,99)))</f>
        <v>no good value</v>
      </c>
      <c r="I11" s="108" t="s">
        <v>74</v>
      </c>
    </row>
    <row r="12" spans="1:9" x14ac:dyDescent="0.25">
      <c r="A12" s="144"/>
      <c r="B12" s="104" t="s">
        <v>181</v>
      </c>
      <c r="C12" s="105">
        <f>INDEX('Raw qPCR data'!E:E,1+(MATCH("Chloro Neg",'For software'!B:B,0)),1)</f>
        <v>0</v>
      </c>
      <c r="D12" s="105"/>
      <c r="E12" s="106"/>
      <c r="G12" s="109"/>
      <c r="H12" s="93" t="s">
        <v>227</v>
      </c>
      <c r="I12" s="94" t="s">
        <v>73</v>
      </c>
    </row>
    <row r="13" spans="1:9" x14ac:dyDescent="0.25">
      <c r="A13" s="97"/>
      <c r="B13" s="98"/>
      <c r="C13" s="99"/>
      <c r="D13" s="99"/>
      <c r="E13" s="100"/>
      <c r="G13" s="92" t="s">
        <v>133</v>
      </c>
      <c r="H13" s="93" t="e">
        <f>C5-$H$11</f>
        <v>#VALUE!</v>
      </c>
      <c r="I13" s="95" t="e">
        <f>2^-H13</f>
        <v>#VALUE!</v>
      </c>
    </row>
    <row r="14" spans="1:9" x14ac:dyDescent="0.25">
      <c r="A14" s="145" t="s">
        <v>184</v>
      </c>
      <c r="B14" s="111" t="s">
        <v>178</v>
      </c>
      <c r="C14" s="112">
        <f>IF('Master mixes'!$B$9&lt;7,"N/A",'Raw qPCR data'!E81)</f>
        <v>0</v>
      </c>
      <c r="D14" s="112"/>
      <c r="E14" s="113" t="str">
        <f>IF(C14&gt;($C$17-0.2),"Do not trust value",IF(C14&gt;($C$17-0.75),"Marginal","Safe"))</f>
        <v>Do not trust value</v>
      </c>
      <c r="G14" s="92" t="s">
        <v>186</v>
      </c>
      <c r="H14" s="93" t="e">
        <f>C10-$H$11</f>
        <v>#VALUE!</v>
      </c>
      <c r="I14" s="95" t="e">
        <f>2^-H14</f>
        <v>#VALUE!</v>
      </c>
    </row>
    <row r="15" spans="1:9" x14ac:dyDescent="0.25">
      <c r="A15" s="145"/>
      <c r="B15" s="111" t="s">
        <v>179</v>
      </c>
      <c r="C15" s="112">
        <f>IF('Master mixes'!$B$9&lt;7,"N/A",'Raw qPCR data'!E82)</f>
        <v>0</v>
      </c>
      <c r="D15" s="112">
        <f>C15-C14</f>
        <v>0</v>
      </c>
      <c r="E15" s="113" t="str">
        <f>IF(E14="Do not trust value","Do not trust value",IF(E14="Marginal","Do not trust value", IF(C15&gt;($C$17-0.2),"Do not trust value",IF(C15&gt;($C$17-0.75),"Marginal","Safe"))))</f>
        <v>Do not trust value</v>
      </c>
      <c r="G15" s="92" t="s">
        <v>106</v>
      </c>
      <c r="H15" s="93" t="e">
        <f>C15-$H$11</f>
        <v>#VALUE!</v>
      </c>
      <c r="I15" s="95" t="e">
        <f>2^-H15</f>
        <v>#VALUE!</v>
      </c>
    </row>
    <row r="16" spans="1:9" ht="15.75" thickBot="1" x14ac:dyDescent="0.3">
      <c r="A16" s="145"/>
      <c r="B16" s="111" t="s">
        <v>180</v>
      </c>
      <c r="C16" s="112">
        <f>IF('Master mixes'!$B$9&lt;7,"N/A",'Raw qPCR data'!E83)</f>
        <v>0</v>
      </c>
      <c r="D16" s="112">
        <f>C16-C15</f>
        <v>0</v>
      </c>
      <c r="E16" s="113" t="str">
        <f>IF(E15="Do not trust value","Do not trust value",IF(E15="Marginal","Do not trust value", IF(C16&gt;($C$17-0.2),"Do not trust value",IF(C16&gt;($C$17-0.75),"Marginal","Safe"))))</f>
        <v>Do not trust value</v>
      </c>
      <c r="G16" s="101" t="s">
        <v>135</v>
      </c>
      <c r="H16" s="93" t="e">
        <f>C20-$H$11</f>
        <v>#VALUE!</v>
      </c>
      <c r="I16" s="95" t="e">
        <f>2^-H16</f>
        <v>#VALUE!</v>
      </c>
    </row>
    <row r="17" spans="1:9" ht="15.75" thickBot="1" x14ac:dyDescent="0.3">
      <c r="A17" s="145"/>
      <c r="B17" s="111" t="s">
        <v>181</v>
      </c>
      <c r="C17" s="112">
        <f>INDEX('Raw qPCR data'!E:E,1+(MATCH("Bact Neg",'For software'!B:B,0)),1)</f>
        <v>0</v>
      </c>
      <c r="D17" s="112"/>
      <c r="E17" s="113"/>
    </row>
    <row r="18" spans="1:9" ht="15.75" thickBot="1" x14ac:dyDescent="0.3">
      <c r="A18" s="97"/>
      <c r="B18" s="98"/>
      <c r="C18" s="98"/>
      <c r="D18" s="98"/>
      <c r="E18" s="114"/>
      <c r="G18" s="78"/>
      <c r="H18" s="79" t="s">
        <v>188</v>
      </c>
      <c r="I18" s="80"/>
    </row>
    <row r="19" spans="1:9" x14ac:dyDescent="0.25">
      <c r="A19" s="146" t="s">
        <v>185</v>
      </c>
      <c r="B19" s="115" t="s">
        <v>178</v>
      </c>
      <c r="C19" s="116">
        <f>IF('Master mixes'!$B$9&lt;7,"N/A",'Raw qPCR data'!E93)</f>
        <v>0</v>
      </c>
      <c r="D19" s="116"/>
      <c r="E19" s="117" t="str">
        <f>IF(C19&gt;($C$22-0.2),"Do not trust value",IF(C19&gt;($C$22-0.75),"Marginal","Safe"))</f>
        <v>Do not trust value</v>
      </c>
      <c r="G19" s="86" t="s">
        <v>226</v>
      </c>
      <c r="H19" s="107" t="str">
        <f>IF(MIN(IF(E6="Safe",C6,99), IF(E11="Safe",C11,99),IF(E16="Safe",C16,99),IF(E21="Safe",C21,99))=99,"no good value", MIN(IF(E6="Safe",C6,99), IF(E11="Safe",C11,99),IF(E16="Safe",C16,99),IF(E21="Safe",C21,99)))</f>
        <v>no good value</v>
      </c>
      <c r="I19" s="108" t="s">
        <v>74</v>
      </c>
    </row>
    <row r="20" spans="1:9" x14ac:dyDescent="0.25">
      <c r="A20" s="146"/>
      <c r="B20" s="115" t="s">
        <v>179</v>
      </c>
      <c r="C20" s="116">
        <f>IF('Master mixes'!$B$9&lt;7,"N/A",'Raw qPCR data'!E94)</f>
        <v>0</v>
      </c>
      <c r="D20" s="116">
        <f>C20-C19</f>
        <v>0</v>
      </c>
      <c r="E20" s="117" t="str">
        <f>IF(E19="Do not trust value","Do not trust value",IF(E19="Marginal","Do not trust value", IF(C20&gt;($C$22-0.2),"Do not trust value",IF(C20&gt;($C$22-0.75),"Marginal","Safe"))))</f>
        <v>Do not trust value</v>
      </c>
      <c r="G20" s="109"/>
      <c r="H20" s="93" t="s">
        <v>227</v>
      </c>
      <c r="I20" s="118" t="s">
        <v>73</v>
      </c>
    </row>
    <row r="21" spans="1:9" x14ac:dyDescent="0.25">
      <c r="A21" s="146"/>
      <c r="B21" s="115" t="s">
        <v>180</v>
      </c>
      <c r="C21" s="116">
        <f>IF('Master mixes'!$B$9&lt;7,"N/A",'Raw qPCR data'!E95)</f>
        <v>0</v>
      </c>
      <c r="D21" s="116">
        <f>C21-C20</f>
        <v>0</v>
      </c>
      <c r="E21" s="117" t="str">
        <f>IF(E20="Do not trust value","Do not trust value",IF(E20="Marginal","Do not trust value", IF(C21&gt;($C$22-0.2),"Do not trust value",IF(C21&gt;($C$22-0.75),"Marginal","Safe"))))</f>
        <v>Do not trust value</v>
      </c>
      <c r="G21" s="92" t="s">
        <v>133</v>
      </c>
      <c r="H21" s="93" t="e">
        <f>C6-$H$19</f>
        <v>#VALUE!</v>
      </c>
      <c r="I21" s="95" t="e">
        <f>2^-H21</f>
        <v>#VALUE!</v>
      </c>
    </row>
    <row r="22" spans="1:9" ht="15.75" thickBot="1" x14ac:dyDescent="0.3">
      <c r="A22" s="147"/>
      <c r="B22" s="119" t="s">
        <v>181</v>
      </c>
      <c r="C22" s="120">
        <f>INDEX('Raw qPCR data'!E:E,1+(MATCH("Fungi Neg",'For software'!B:B,0)),1)</f>
        <v>0</v>
      </c>
      <c r="D22" s="120"/>
      <c r="E22" s="121"/>
      <c r="G22" s="92" t="s">
        <v>186</v>
      </c>
      <c r="H22" s="93" t="e">
        <f>C11-$H$19</f>
        <v>#VALUE!</v>
      </c>
      <c r="I22" s="95" t="e">
        <f>2^-H22</f>
        <v>#VALUE!</v>
      </c>
    </row>
    <row r="23" spans="1:9" x14ac:dyDescent="0.25">
      <c r="G23" s="92" t="s">
        <v>106</v>
      </c>
      <c r="H23" s="93" t="e">
        <f>C16-$H$19</f>
        <v>#VALUE!</v>
      </c>
      <c r="I23" s="95" t="e">
        <f>2^-H23</f>
        <v>#VALUE!</v>
      </c>
    </row>
    <row r="24" spans="1:9" ht="15.75" thickBot="1" x14ac:dyDescent="0.3">
      <c r="G24" s="101" t="s">
        <v>135</v>
      </c>
      <c r="H24" s="102" t="e">
        <f>C21-$H$19</f>
        <v>#VALUE!</v>
      </c>
      <c r="I24" s="103" t="e">
        <f>2^-H24</f>
        <v>#VALUE!</v>
      </c>
    </row>
    <row r="25" spans="1:9" x14ac:dyDescent="0.25">
      <c r="F25" s="122"/>
      <c r="G25" s="110"/>
      <c r="H25" s="93"/>
      <c r="I25" s="123"/>
    </row>
    <row r="26" spans="1:9" x14ac:dyDescent="0.25">
      <c r="G26" s="98"/>
      <c r="H26" s="98"/>
      <c r="I26" s="98"/>
    </row>
    <row r="27" spans="1:9" x14ac:dyDescent="0.25">
      <c r="G27" s="98"/>
      <c r="H27" s="98"/>
      <c r="I27" s="98"/>
    </row>
  </sheetData>
  <sheetProtection sheet="1" objects="1" scenarios="1"/>
  <mergeCells count="4">
    <mergeCell ref="A4:A7"/>
    <mergeCell ref="A9:A12"/>
    <mergeCell ref="A14:A17"/>
    <mergeCell ref="A19:A22"/>
  </mergeCells>
  <conditionalFormatting sqref="H13:I13">
    <cfRule type="expression" dxfId="25" priority="9">
      <formula>FIND("Marginal",$E$5,1)</formula>
    </cfRule>
    <cfRule type="expression" dxfId="24" priority="10">
      <formula>FIND("Do not trust value",$E$5,1)</formula>
    </cfRule>
  </conditionalFormatting>
  <conditionalFormatting sqref="H5:I5">
    <cfRule type="expression" dxfId="23" priority="11">
      <formula>FIND("Marginal",$E$4,1)</formula>
    </cfRule>
    <cfRule type="expression" dxfId="22" priority="12">
      <formula>FIND("Do not trust value",$E$4,1)</formula>
    </cfRule>
  </conditionalFormatting>
  <conditionalFormatting sqref="H21:I21">
    <cfRule type="expression" dxfId="21" priority="7">
      <formula>FIND("Marginal",$E$6,1)</formula>
    </cfRule>
    <cfRule type="expression" dxfId="20" priority="8">
      <formula>FIND("Do not trust value",$E$6,1)</formula>
    </cfRule>
  </conditionalFormatting>
  <conditionalFormatting sqref="H22:I22">
    <cfRule type="expression" dxfId="19" priority="5">
      <formula>FIND("Marginal",$E$11,1)</formula>
    </cfRule>
    <cfRule type="expression" dxfId="18" priority="6">
      <formula>FIND("Do not trust value",$E$11,1)</formula>
    </cfRule>
  </conditionalFormatting>
  <conditionalFormatting sqref="H15:I15">
    <cfRule type="expression" dxfId="17" priority="13">
      <formula>FIND("Marginal",$E$15,1)</formula>
    </cfRule>
    <cfRule type="expression" dxfId="16" priority="14">
      <formula>FIND("Do not trust value",$E$15,1)</formula>
    </cfRule>
  </conditionalFormatting>
  <conditionalFormatting sqref="H23:I23">
    <cfRule type="expression" dxfId="15" priority="15">
      <formula>FIND("Marginal",$E$16,1)</formula>
    </cfRule>
    <cfRule type="expression" dxfId="14" priority="16">
      <formula>FIND("Do not trust value",$E$16,1)</formula>
    </cfRule>
  </conditionalFormatting>
  <conditionalFormatting sqref="H7:I7">
    <cfRule type="expression" dxfId="13" priority="17">
      <formula>FIND("Marginal",$E$14,1)</formula>
    </cfRule>
    <cfRule type="expression" dxfId="12" priority="18">
      <formula>FIND("Do not trust value",$E$14,1)</formula>
    </cfRule>
  </conditionalFormatting>
  <conditionalFormatting sqref="H24:I24">
    <cfRule type="expression" dxfId="11" priority="19">
      <formula>FIND("Marginal",$E$21,1)</formula>
    </cfRule>
    <cfRule type="expression" dxfId="10" priority="20">
      <formula>FIND("Do not trust value",$E$21,1)</formula>
    </cfRule>
  </conditionalFormatting>
  <conditionalFormatting sqref="H8:I8">
    <cfRule type="expression" dxfId="9" priority="21">
      <formula>FIND("Marginal",$E$19,1)</formula>
    </cfRule>
    <cfRule type="expression" dxfId="8" priority="22">
      <formula>FIND("Do not trust value",$E$19,1)</formula>
    </cfRule>
  </conditionalFormatting>
  <conditionalFormatting sqref="H16:I16">
    <cfRule type="expression" dxfId="7" priority="23">
      <formula>FIND("Marginal",$E$20,1)</formula>
    </cfRule>
    <cfRule type="expression" dxfId="6" priority="24">
      <formula>FIND("Do not trust value",$E$20,1)</formula>
    </cfRule>
  </conditionalFormatting>
  <conditionalFormatting sqref="H25:I25">
    <cfRule type="expression" dxfId="5" priority="25">
      <formula>FIND("Marginal",#REF!,1)</formula>
    </cfRule>
    <cfRule type="expression" dxfId="4" priority="26">
      <formula>FIND("Do not trust value",#REF!,1)</formula>
    </cfRule>
  </conditionalFormatting>
  <conditionalFormatting sqref="H14:I14">
    <cfRule type="expression" dxfId="3" priority="3">
      <formula>FIND("Marginal",$E$10,1)</formula>
    </cfRule>
    <cfRule type="expression" dxfId="2" priority="4">
      <formula>FIND("Do not trust value",$E$10,1)</formula>
    </cfRule>
  </conditionalFormatting>
  <conditionalFormatting sqref="H6:I6">
    <cfRule type="expression" dxfId="1" priority="1">
      <formula>FIND("Marginal",$E$9,1)</formula>
    </cfRule>
    <cfRule type="expression" dxfId="0" priority="2">
      <formula>FIND("Do not trust value",$E$9,1)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B2" sqref="B2"/>
    </sheetView>
  </sheetViews>
  <sheetFormatPr defaultRowHeight="15" x14ac:dyDescent="0.25"/>
  <cols>
    <col min="1" max="1" width="18" customWidth="1"/>
    <col min="2" max="2" width="14.5703125" customWidth="1"/>
    <col min="5" max="5" width="10.7109375" customWidth="1"/>
    <col min="6" max="6" width="11.85546875" customWidth="1"/>
    <col min="7" max="7" width="12.5703125" customWidth="1"/>
    <col min="8" max="8" width="9" customWidth="1"/>
    <col min="9" max="9" width="7.7109375" customWidth="1"/>
  </cols>
  <sheetData>
    <row r="1" spans="1:9" x14ac:dyDescent="0.25">
      <c r="A1" s="45"/>
      <c r="B1" s="46" t="s">
        <v>145</v>
      </c>
    </row>
    <row r="2" spans="1:9" ht="15" customHeight="1" x14ac:dyDescent="0.25">
      <c r="A2" s="3" t="s">
        <v>75</v>
      </c>
      <c r="B2" s="48" t="s">
        <v>139</v>
      </c>
      <c r="D2" s="127" t="s">
        <v>194</v>
      </c>
      <c r="E2" s="127"/>
      <c r="F2" s="127"/>
      <c r="G2" s="127"/>
      <c r="H2" s="76"/>
      <c r="I2" s="76"/>
    </row>
    <row r="3" spans="1:9" x14ac:dyDescent="0.25">
      <c r="A3" s="3" t="s">
        <v>76</v>
      </c>
      <c r="B3" s="48" t="s">
        <v>138</v>
      </c>
      <c r="D3" s="127"/>
      <c r="E3" s="127"/>
      <c r="F3" s="127"/>
      <c r="G3" s="127"/>
      <c r="H3" s="76"/>
      <c r="I3" s="76"/>
    </row>
    <row r="4" spans="1:9" x14ac:dyDescent="0.25">
      <c r="A4" s="3" t="s">
        <v>77</v>
      </c>
      <c r="B4" s="48" t="s">
        <v>140</v>
      </c>
      <c r="D4" s="127"/>
      <c r="E4" s="127"/>
      <c r="F4" s="127"/>
      <c r="G4" s="127"/>
      <c r="H4" s="76"/>
      <c r="I4" s="76"/>
    </row>
    <row r="5" spans="1:9" s="6" customFormat="1" ht="15" customHeight="1" x14ac:dyDescent="0.25">
      <c r="A5" s="3" t="s">
        <v>125</v>
      </c>
      <c r="B5" s="48" t="s">
        <v>141</v>
      </c>
      <c r="D5" s="127"/>
      <c r="E5" s="127"/>
      <c r="F5" s="127"/>
      <c r="G5" s="127"/>
      <c r="H5" s="43"/>
      <c r="I5" s="43"/>
    </row>
    <row r="6" spans="1:9" s="6" customFormat="1" x14ac:dyDescent="0.25">
      <c r="A6" s="3" t="s">
        <v>126</v>
      </c>
      <c r="B6" s="48" t="s">
        <v>142</v>
      </c>
      <c r="D6" s="44"/>
      <c r="E6" s="43"/>
      <c r="F6" s="43"/>
      <c r="G6" s="43"/>
      <c r="H6" s="43"/>
      <c r="I6" s="43"/>
    </row>
    <row r="7" spans="1:9" s="6" customFormat="1" x14ac:dyDescent="0.25">
      <c r="A7" s="3" t="s">
        <v>127</v>
      </c>
      <c r="B7" s="48" t="s">
        <v>143</v>
      </c>
      <c r="D7" s="44"/>
      <c r="E7" s="43"/>
      <c r="F7" s="43"/>
      <c r="G7" s="43"/>
      <c r="H7" s="43"/>
      <c r="I7" s="43"/>
    </row>
    <row r="8" spans="1:9" s="6" customFormat="1" ht="15.75" thickBot="1" x14ac:dyDescent="0.3">
      <c r="A8" s="47" t="s">
        <v>128</v>
      </c>
      <c r="B8" s="49" t="s">
        <v>144</v>
      </c>
      <c r="D8" s="43"/>
      <c r="E8" s="43"/>
      <c r="F8" s="43"/>
      <c r="G8" s="43"/>
      <c r="H8" s="43"/>
      <c r="I8" s="43"/>
    </row>
    <row r="9" spans="1:9" s="6" customFormat="1" x14ac:dyDescent="0.25">
      <c r="A9" s="6" t="s">
        <v>129</v>
      </c>
      <c r="B9" s="6">
        <f>IF(ISBLANK(B2),0,IF(ISBLANK(B3),1,IF(ISBLANK(B4),2,IF(ISBLANK(B5),3,IF(ISBLANK(B6),4,IF(ISBLANK(B7),5,IF(ISBLANK(B8),6,7)))))))</f>
        <v>7</v>
      </c>
    </row>
    <row r="10" spans="1:9" ht="15.75" thickBot="1" x14ac:dyDescent="0.3">
      <c r="A10" s="7"/>
      <c r="B10" s="7"/>
      <c r="C10" s="7"/>
      <c r="D10" s="7"/>
      <c r="E10" s="7"/>
      <c r="F10" s="7"/>
      <c r="G10" s="7"/>
      <c r="H10" s="7"/>
    </row>
    <row r="11" spans="1:9" x14ac:dyDescent="0.25">
      <c r="A11" s="124" t="s">
        <v>98</v>
      </c>
      <c r="B11" s="125"/>
      <c r="C11" s="125"/>
      <c r="D11" s="125"/>
      <c r="E11" s="125"/>
      <c r="F11" s="125"/>
      <c r="G11" s="126"/>
      <c r="H11" s="7"/>
    </row>
    <row r="12" spans="1:9" ht="24" x14ac:dyDescent="0.25">
      <c r="A12" s="50"/>
      <c r="B12" s="51" t="s">
        <v>81</v>
      </c>
      <c r="C12" s="51" t="s">
        <v>82</v>
      </c>
      <c r="D12" s="51" t="s">
        <v>83</v>
      </c>
      <c r="E12" s="51" t="s">
        <v>82</v>
      </c>
      <c r="F12" s="51" t="s">
        <v>108</v>
      </c>
      <c r="G12" s="52" t="s">
        <v>111</v>
      </c>
      <c r="H12" s="10"/>
    </row>
    <row r="13" spans="1:9" x14ac:dyDescent="0.25">
      <c r="A13" s="50" t="s">
        <v>84</v>
      </c>
      <c r="B13" s="53"/>
      <c r="C13" s="53" t="s">
        <v>85</v>
      </c>
      <c r="D13" s="53"/>
      <c r="E13" s="53" t="s">
        <v>86</v>
      </c>
      <c r="F13" s="53">
        <v>1</v>
      </c>
      <c r="G13" s="54" t="s">
        <v>96</v>
      </c>
      <c r="H13" s="11"/>
    </row>
    <row r="14" spans="1:9" x14ac:dyDescent="0.25">
      <c r="A14" s="50" t="s">
        <v>87</v>
      </c>
      <c r="B14" s="53">
        <v>25</v>
      </c>
      <c r="C14" s="53" t="s">
        <v>88</v>
      </c>
      <c r="D14" s="53">
        <v>0.2</v>
      </c>
      <c r="E14" s="53" t="s">
        <v>88</v>
      </c>
      <c r="F14" s="53">
        <f>D14*$F$22/B14</f>
        <v>0.2</v>
      </c>
      <c r="G14" s="55">
        <f>F14*$F$24</f>
        <v>20</v>
      </c>
      <c r="H14" s="12"/>
    </row>
    <row r="15" spans="1:9" x14ac:dyDescent="0.25">
      <c r="A15" s="50" t="s">
        <v>89</v>
      </c>
      <c r="B15" s="53">
        <v>10</v>
      </c>
      <c r="C15" s="53" t="s">
        <v>191</v>
      </c>
      <c r="D15" s="53">
        <v>0.4</v>
      </c>
      <c r="E15" s="53" t="s">
        <v>90</v>
      </c>
      <c r="F15" s="53">
        <f>D15*$F$22/B15</f>
        <v>1</v>
      </c>
      <c r="G15" s="54" t="s">
        <v>112</v>
      </c>
      <c r="H15" s="12"/>
    </row>
    <row r="16" spans="1:9" x14ac:dyDescent="0.25">
      <c r="A16" s="50" t="s">
        <v>215</v>
      </c>
      <c r="B16" s="53">
        <v>5</v>
      </c>
      <c r="C16" s="53" t="s">
        <v>91</v>
      </c>
      <c r="D16" s="53">
        <v>0.04</v>
      </c>
      <c r="E16" s="53" t="s">
        <v>91</v>
      </c>
      <c r="F16" s="53">
        <f>D16*$F$22/B16</f>
        <v>0.2</v>
      </c>
      <c r="G16" s="55">
        <f>F16*$F$24</f>
        <v>20</v>
      </c>
      <c r="H16" s="12"/>
    </row>
    <row r="17" spans="1:8" x14ac:dyDescent="0.25">
      <c r="A17" s="50" t="s">
        <v>216</v>
      </c>
      <c r="B17" s="53">
        <v>10</v>
      </c>
      <c r="C17" s="53" t="s">
        <v>92</v>
      </c>
      <c r="D17" s="53">
        <v>1</v>
      </c>
      <c r="E17" s="53" t="s">
        <v>92</v>
      </c>
      <c r="F17" s="53">
        <f>D17*$F$22/B17</f>
        <v>2.5</v>
      </c>
      <c r="G17" s="55">
        <f>F17*$F$24</f>
        <v>250</v>
      </c>
      <c r="H17" s="12"/>
    </row>
    <row r="18" spans="1:8" x14ac:dyDescent="0.25">
      <c r="A18" s="50" t="s">
        <v>93</v>
      </c>
      <c r="B18" s="53">
        <v>25</v>
      </c>
      <c r="C18" s="53" t="s">
        <v>88</v>
      </c>
      <c r="D18" s="53">
        <v>2.5</v>
      </c>
      <c r="E18" s="53" t="s">
        <v>88</v>
      </c>
      <c r="F18" s="53">
        <f>D18*$F$22/B18</f>
        <v>2.5</v>
      </c>
      <c r="G18" s="55">
        <f>F18*$F$24</f>
        <v>250</v>
      </c>
      <c r="H18" s="12"/>
    </row>
    <row r="19" spans="1:8" x14ac:dyDescent="0.25">
      <c r="A19" s="50" t="s">
        <v>94</v>
      </c>
      <c r="B19" s="53"/>
      <c r="C19" s="53"/>
      <c r="D19" s="53"/>
      <c r="E19" s="53"/>
      <c r="F19" s="53">
        <v>1</v>
      </c>
      <c r="G19" s="55">
        <f>F19*$F$24</f>
        <v>100</v>
      </c>
      <c r="H19" s="12"/>
    </row>
    <row r="20" spans="1:8" ht="15.75" thickBot="1" x14ac:dyDescent="0.3">
      <c r="A20" s="56" t="s">
        <v>95</v>
      </c>
      <c r="B20" s="57"/>
      <c r="C20" s="57"/>
      <c r="D20" s="57"/>
      <c r="E20" s="57"/>
      <c r="F20" s="57">
        <f>F22-F13-F14-F15-F16-F17-F18-F19</f>
        <v>16.600000000000001</v>
      </c>
      <c r="G20" s="58">
        <f>F20*$F$24</f>
        <v>1660.0000000000002</v>
      </c>
      <c r="H20" s="12"/>
    </row>
    <row r="21" spans="1:8" x14ac:dyDescent="0.25">
      <c r="A21" s="59"/>
      <c r="B21" s="59"/>
      <c r="C21" s="59"/>
      <c r="D21" s="59"/>
      <c r="E21" s="59"/>
      <c r="F21" s="59"/>
      <c r="G21" s="59"/>
      <c r="H21" s="12"/>
    </row>
    <row r="22" spans="1:8" x14ac:dyDescent="0.25">
      <c r="A22" s="60"/>
      <c r="B22" s="61"/>
      <c r="C22" s="59"/>
      <c r="D22" s="59"/>
      <c r="E22" s="62" t="s">
        <v>107</v>
      </c>
      <c r="F22" s="60">
        <v>25</v>
      </c>
      <c r="G22" s="59"/>
      <c r="H22" s="12"/>
    </row>
    <row r="23" spans="1:8" x14ac:dyDescent="0.25">
      <c r="A23" s="59"/>
      <c r="B23" s="59"/>
      <c r="C23" s="59"/>
      <c r="D23" s="59"/>
      <c r="E23" s="62" t="s">
        <v>130</v>
      </c>
      <c r="F23" s="59">
        <f>IF(B9=0,0,(12*B9+4))</f>
        <v>88</v>
      </c>
      <c r="G23" s="59"/>
      <c r="H23" s="7"/>
    </row>
    <row r="24" spans="1:8" x14ac:dyDescent="0.25">
      <c r="A24" s="59"/>
      <c r="B24" s="60"/>
      <c r="C24" s="59"/>
      <c r="D24" s="59"/>
      <c r="E24" s="62" t="s">
        <v>109</v>
      </c>
      <c r="F24" s="59">
        <f>IF(B9=0,0,F23+12)</f>
        <v>100</v>
      </c>
      <c r="G24" s="59"/>
      <c r="H24" s="7"/>
    </row>
    <row r="25" spans="1:8" x14ac:dyDescent="0.25">
      <c r="A25" s="59"/>
      <c r="B25" s="59"/>
      <c r="C25" s="59"/>
      <c r="D25" s="59"/>
      <c r="E25" s="63" t="s">
        <v>110</v>
      </c>
      <c r="F25" s="59">
        <f>SUM(G14,G16:G20)</f>
        <v>2300</v>
      </c>
      <c r="G25" s="59"/>
      <c r="H25" s="7"/>
    </row>
    <row r="26" spans="1:8" ht="15.75" thickBot="1" x14ac:dyDescent="0.3">
      <c r="A26" s="59"/>
      <c r="B26" s="59"/>
      <c r="C26" s="59"/>
      <c r="D26" s="59"/>
      <c r="E26" s="59"/>
      <c r="F26" s="59"/>
      <c r="G26" s="59"/>
      <c r="H26" s="7"/>
    </row>
    <row r="27" spans="1:8" x14ac:dyDescent="0.25">
      <c r="A27" s="124" t="s">
        <v>131</v>
      </c>
      <c r="B27" s="125"/>
      <c r="C27" s="125"/>
      <c r="D27" s="125"/>
      <c r="E27" s="125"/>
      <c r="F27" s="125"/>
      <c r="G27" s="126"/>
      <c r="H27" s="7"/>
    </row>
    <row r="28" spans="1:8" ht="24" x14ac:dyDescent="0.25">
      <c r="A28" s="50"/>
      <c r="B28" s="51" t="s">
        <v>81</v>
      </c>
      <c r="C28" s="51" t="s">
        <v>82</v>
      </c>
      <c r="D28" s="51" t="s">
        <v>83</v>
      </c>
      <c r="E28" s="51" t="s">
        <v>82</v>
      </c>
      <c r="F28" s="51" t="s">
        <v>108</v>
      </c>
      <c r="G28" s="52" t="s">
        <v>111</v>
      </c>
      <c r="H28" s="7"/>
    </row>
    <row r="29" spans="1:8" x14ac:dyDescent="0.25">
      <c r="A29" s="50" t="s">
        <v>84</v>
      </c>
      <c r="B29" s="53"/>
      <c r="C29" s="53" t="s">
        <v>85</v>
      </c>
      <c r="D29" s="53"/>
      <c r="E29" s="53" t="s">
        <v>86</v>
      </c>
      <c r="F29" s="53">
        <v>1</v>
      </c>
      <c r="G29" s="54" t="s">
        <v>96</v>
      </c>
      <c r="H29" s="7"/>
    </row>
    <row r="30" spans="1:8" x14ac:dyDescent="0.25">
      <c r="A30" s="50" t="s">
        <v>89</v>
      </c>
      <c r="B30" s="53">
        <f>B15</f>
        <v>10</v>
      </c>
      <c r="C30" s="53" t="s">
        <v>90</v>
      </c>
      <c r="D30" s="53">
        <v>0.4</v>
      </c>
      <c r="E30" s="53" t="s">
        <v>90</v>
      </c>
      <c r="F30" s="53">
        <f>D30*$F$33/B30</f>
        <v>1</v>
      </c>
      <c r="G30" s="64">
        <f>F30*$F$35</f>
        <v>23.5</v>
      </c>
    </row>
    <row r="31" spans="1:8" ht="15.75" thickBot="1" x14ac:dyDescent="0.3">
      <c r="A31" s="56" t="s">
        <v>113</v>
      </c>
      <c r="B31" s="65" t="s">
        <v>114</v>
      </c>
      <c r="C31" s="57"/>
      <c r="D31" s="57"/>
      <c r="E31" s="57"/>
      <c r="F31" s="57">
        <f>F33-F29-F30</f>
        <v>23</v>
      </c>
      <c r="G31" s="64">
        <f>F31*$F$35</f>
        <v>540.5</v>
      </c>
    </row>
    <row r="32" spans="1:8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59"/>
      <c r="D33" s="59"/>
      <c r="E33" s="62" t="s">
        <v>107</v>
      </c>
      <c r="F33" s="60">
        <f>F22</f>
        <v>25</v>
      </c>
      <c r="G33" s="66"/>
    </row>
    <row r="34" spans="1:7" x14ac:dyDescent="0.25">
      <c r="A34" s="66"/>
      <c r="B34" s="66"/>
      <c r="C34" s="59"/>
      <c r="D34" s="59"/>
      <c r="E34" s="62" t="s">
        <v>132</v>
      </c>
      <c r="F34" s="59">
        <f>IF(B9=0,0,3*B9+1)</f>
        <v>22</v>
      </c>
      <c r="G34" s="66"/>
    </row>
    <row r="35" spans="1:7" x14ac:dyDescent="0.25">
      <c r="A35" s="66"/>
      <c r="B35" s="66"/>
      <c r="C35" s="59"/>
      <c r="D35" s="59"/>
      <c r="E35" s="62" t="s">
        <v>109</v>
      </c>
      <c r="F35" s="59">
        <f>IF(B9=0,0,F34+1.5)</f>
        <v>23.5</v>
      </c>
      <c r="G35" s="66"/>
    </row>
    <row r="36" spans="1:7" x14ac:dyDescent="0.25">
      <c r="A36" s="66"/>
      <c r="B36" s="66"/>
      <c r="C36" s="59"/>
      <c r="D36" s="59"/>
      <c r="E36" s="63" t="s">
        <v>115</v>
      </c>
      <c r="F36" s="59">
        <f>SUM(G30:G31)</f>
        <v>564</v>
      </c>
      <c r="G36" s="66"/>
    </row>
    <row r="43" spans="1:7" s="6" customFormat="1" x14ac:dyDescent="0.25"/>
  </sheetData>
  <mergeCells count="3">
    <mergeCell ref="A11:G11"/>
    <mergeCell ref="A27:G27"/>
    <mergeCell ref="D2:G5"/>
  </mergeCells>
  <conditionalFormatting sqref="F20:G20">
    <cfRule type="cellIs" dxfId="185" priority="1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2" sqref="A2"/>
    </sheetView>
  </sheetViews>
  <sheetFormatPr defaultRowHeight="15" x14ac:dyDescent="0.25"/>
  <cols>
    <col min="1" max="1" width="20.140625" style="6" customWidth="1"/>
    <col min="2" max="14" width="7.28515625" style="6" customWidth="1"/>
    <col min="15" max="16384" width="9.140625" style="6"/>
  </cols>
  <sheetData>
    <row r="1" spans="1:14" s="22" customFormat="1" x14ac:dyDescent="0.25">
      <c r="A1" s="26" t="s">
        <v>146</v>
      </c>
      <c r="B1" s="13"/>
      <c r="C1" s="142" t="str">
        <f>CONCATENATE('Master mixes'!B2," dilutions")</f>
        <v>sample 1 dilutions</v>
      </c>
      <c r="D1" s="142"/>
      <c r="E1" s="142"/>
      <c r="F1" s="138" t="str">
        <f>IF('Master mixes'!B9&gt;1,CONCATENATE('Master mixes'!B3," dilutions"),IF('Master mixes'!B9&gt;0,"Negative controls",""))</f>
        <v>sample 2 dilutions</v>
      </c>
      <c r="G1" s="138"/>
      <c r="H1" s="138"/>
      <c r="I1" s="142" t="str">
        <f>IF('Master mixes'!B9&gt;2,CONCATENATE('Master mixes'!B4," dilutions"),IF('Master mixes'!B9&gt;1,"Negative controls",""))</f>
        <v>sample 3 dilutions</v>
      </c>
      <c r="J1" s="142"/>
      <c r="K1" s="142"/>
      <c r="L1" s="138" t="str">
        <f>IF('Master mixes'!B9&gt;3,CONCATENATE('Master mixes'!B5," dilutions"),IF('Master mixes'!B9&gt;2,"Negative controls",""))</f>
        <v>sample 4 dilutions</v>
      </c>
      <c r="M1" s="138"/>
      <c r="N1" s="138"/>
    </row>
    <row r="2" spans="1:14" x14ac:dyDescent="0.25">
      <c r="C2" s="20">
        <v>1</v>
      </c>
      <c r="D2" s="20">
        <v>0.1</v>
      </c>
      <c r="E2" s="20">
        <v>0.01</v>
      </c>
      <c r="F2" s="19" t="str">
        <f>IF(ISNUMBER(FIND("dilutions",F1)),"100%","")</f>
        <v>100%</v>
      </c>
      <c r="G2" s="19" t="str">
        <f>IF(ISNUMBER(FIND("dilutions",F1)),"10%","")</f>
        <v>10%</v>
      </c>
      <c r="H2" s="19" t="str">
        <f>IF(ISNUMBER(FIND("dilutions",F1)),"1%","")</f>
        <v>1%</v>
      </c>
      <c r="I2" s="20" t="str">
        <f>IF(ISNUMBER(FIND("dilutions",I1)),"100%","")</f>
        <v>100%</v>
      </c>
      <c r="J2" s="20" t="str">
        <f>IF(ISNUMBER(FIND("dilutions",I1)),"10%","")</f>
        <v>10%</v>
      </c>
      <c r="K2" s="20" t="str">
        <f>IF(ISNUMBER(FIND("dilutions",I1)),"1%","")</f>
        <v>1%</v>
      </c>
      <c r="L2" s="19" t="str">
        <f>IF(ISNUMBER(FIND("dilutions",L1)),"100%","")</f>
        <v>100%</v>
      </c>
      <c r="M2" s="19" t="str">
        <f>IF(ISNUMBER(FIND("dilutions",L1)),"10%","")</f>
        <v>10%</v>
      </c>
      <c r="N2" s="19" t="str">
        <f>IF(ISNUMBER(FIND("dilutions",L1)),"1%","")</f>
        <v>1%</v>
      </c>
    </row>
    <row r="3" spans="1:14" ht="15.75" thickBot="1" x14ac:dyDescent="0.3">
      <c r="A3" s="5" t="s">
        <v>99</v>
      </c>
      <c r="B3" s="15" t="s">
        <v>116</v>
      </c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</row>
    <row r="4" spans="1:14" ht="35.1" customHeight="1" x14ac:dyDescent="0.25">
      <c r="A4" s="14" t="s">
        <v>133</v>
      </c>
      <c r="B4" s="27" t="s">
        <v>100</v>
      </c>
      <c r="C4" s="36" t="str">
        <f>CONCATENATE('Master mixes'!B2,".library.nuclear",)</f>
        <v>sample 1.library.nuclear</v>
      </c>
      <c r="D4" s="31" t="str">
        <f>CONCATENATE('Master mixes'!B2,".1.nuclear",)</f>
        <v>sample 1.1.nuclear</v>
      </c>
      <c r="E4" s="31" t="str">
        <f>CONCATENATE('Master mixes'!B2,".01.nuclear",)</f>
        <v>sample 1.01.nuclear</v>
      </c>
      <c r="F4" s="30" t="str">
        <f>IF('Master mixes'!$B$9&gt;0,IF('Master mixes'!$B$9&gt;1,CONCATENATE('Master mixes'!$B$3,".library.nuclear"),"Nucl Neg"))</f>
        <v>sample 2.library.nuclear</v>
      </c>
      <c r="G4" s="30" t="str">
        <f>IF('Master mixes'!B9&gt;1,CONCATENATE('Master mixes'!B3,".1.nuclear"))</f>
        <v>sample 2.1.nuclear</v>
      </c>
      <c r="H4" s="30" t="str">
        <f>IF('Master mixes'!B9&gt;1,CONCATENATE('Master mixes'!B3,".01.nuclear"))</f>
        <v>sample 2.01.nuclear</v>
      </c>
      <c r="I4" s="31" t="str">
        <f>IF('Master mixes'!$B$9&gt;1,IF('Master mixes'!$B$9&gt;2,CONCATENATE('Master mixes'!$B$4,".library.nuclear"),"Nucl Neg"))</f>
        <v>sample 3.library.nuclear</v>
      </c>
      <c r="J4" s="31" t="str">
        <f>IF('Master mixes'!B9&gt;2,CONCATENATE('Master mixes'!B4,".1.nuclear"))</f>
        <v>sample 3.1.nuclear</v>
      </c>
      <c r="K4" s="31" t="str">
        <f>IF('Master mixes'!B9&gt;2,CONCATENATE('Master mixes'!B4,".01.nuclear"))</f>
        <v>sample 3.01.nuclear</v>
      </c>
      <c r="L4" s="30" t="str">
        <f>IF('Master mixes'!$B$9&gt;2,IF('Master mixes'!$B$9&gt;3,CONCATENATE('Master mixes'!$B$5,".library.nuclear"),"Nucl Neg"))</f>
        <v>sample 4.library.nuclear</v>
      </c>
      <c r="M4" s="30" t="str">
        <f>IF('Master mixes'!B9&gt;3,CONCATENATE('Master mixes'!B5,".1.nuclear"))</f>
        <v>sample 4.1.nuclear</v>
      </c>
      <c r="N4" s="38" t="str">
        <f>IF('Master mixes'!B9&gt;3,CONCATENATE('Master mixes'!B5,".01.nuclear"))</f>
        <v>sample 4.01.nuclear</v>
      </c>
    </row>
    <row r="5" spans="1:14" ht="35.1" customHeight="1" x14ac:dyDescent="0.25">
      <c r="A5" s="14" t="s">
        <v>134</v>
      </c>
      <c r="B5" s="27" t="s">
        <v>101</v>
      </c>
      <c r="C5" s="37" t="str">
        <f>CONCATENATE('Master mixes'!B2,".library.chlor",)</f>
        <v>sample 1.library.chlor</v>
      </c>
      <c r="D5" s="24" t="str">
        <f>CONCATENATE('Master mixes'!B2,".1.chlor",)</f>
        <v>sample 1.1.chlor</v>
      </c>
      <c r="E5" s="24" t="str">
        <f>CONCATENATE('Master mixes'!B2,".01.chlor",)</f>
        <v>sample 1.01.chlor</v>
      </c>
      <c r="F5" s="23" t="str">
        <f>IF('Master mixes'!$B$9&gt;0,IF('Master mixes'!$B$9&gt;1,CONCATENATE('Master mixes'!$B$3,".library.chlor"),"Chloro Neg"))</f>
        <v>sample 2.library.chlor</v>
      </c>
      <c r="G5" s="23" t="str">
        <f>IF('Master mixes'!B9&gt;1,CONCATENATE('Master mixes'!B3,".1.chlor"))</f>
        <v>sample 2.1.chlor</v>
      </c>
      <c r="H5" s="23" t="str">
        <f>IF('Master mixes'!B9&gt;1,CONCATENATE('Master mixes'!B3,".01.chlor"))</f>
        <v>sample 2.01.chlor</v>
      </c>
      <c r="I5" s="24" t="str">
        <f>IF('Master mixes'!$B$9&gt;1,IF('Master mixes'!$B$9&gt;2,CONCATENATE('Master mixes'!$B$4,".library.chlor"),"Chloro Neg"))</f>
        <v>sample 3.library.chlor</v>
      </c>
      <c r="J5" s="24" t="str">
        <f>IF('Master mixes'!B9&gt;2,CONCATENATE('Master mixes'!B4,".1.chlor"))</f>
        <v>sample 3.1.chlor</v>
      </c>
      <c r="K5" s="24" t="str">
        <f>IF('Master mixes'!B9&gt;2,CONCATENATE('Master mixes'!B4,".01.chlor"))</f>
        <v>sample 3.01.chlor</v>
      </c>
      <c r="L5" s="23" t="str">
        <f>IF('Master mixes'!$B$9&gt;2,IF('Master mixes'!$B$9&gt;3,CONCATENATE('Master mixes'!$B$5,".library.chlor"),"Chloro Neg"))</f>
        <v>sample 4.library.chlor</v>
      </c>
      <c r="M5" s="23" t="str">
        <f>IF('Master mixes'!B9&gt;3,CONCATENATE('Master mixes'!B5,".1.chlor"))</f>
        <v>sample 4.1.chlor</v>
      </c>
      <c r="N5" s="39" t="str">
        <f>IF('Master mixes'!B9&gt;3,CONCATENATE('Master mixes'!B5,".01.chlor"))</f>
        <v>sample 4.01.chlor</v>
      </c>
    </row>
    <row r="6" spans="1:14" ht="35.1" customHeight="1" x14ac:dyDescent="0.25">
      <c r="A6" s="14" t="s">
        <v>106</v>
      </c>
      <c r="B6" s="27" t="s">
        <v>102</v>
      </c>
      <c r="C6" s="37" t="str">
        <f>CONCATENATE('Master mixes'!B2,".library.bact",)</f>
        <v>sample 1.library.bact</v>
      </c>
      <c r="D6" s="24" t="str">
        <f>CONCATENATE('Master mixes'!B2,".1.bact",)</f>
        <v>sample 1.1.bact</v>
      </c>
      <c r="E6" s="24" t="str">
        <f>CONCATENATE('Master mixes'!B2,".01.bact",)</f>
        <v>sample 1.01.bact</v>
      </c>
      <c r="F6" s="23" t="str">
        <f>IF('Master mixes'!$B$9&gt;0,IF('Master mixes'!$B$9&gt;1,CONCATENATE('Master mixes'!$B$3,".library.bact"),"Bact Neg"))</f>
        <v>sample 2.library.bact</v>
      </c>
      <c r="G6" s="23" t="str">
        <f>IF('Master mixes'!B9&gt;1,CONCATENATE('Master mixes'!B3,".1.bact"))</f>
        <v>sample 2.1.bact</v>
      </c>
      <c r="H6" s="23" t="str">
        <f>IF('Master mixes'!B9&gt;1,CONCATENATE('Master mixes'!B3,".01.bact"))</f>
        <v>sample 2.01.bact</v>
      </c>
      <c r="I6" s="24" t="str">
        <f>IF('Master mixes'!$B$9&gt;1,IF('Master mixes'!$B$9&gt;2,CONCATENATE('Master mixes'!$B$4,".library.bact"),"Bact Neg"))</f>
        <v>sample 3.library.bact</v>
      </c>
      <c r="J6" s="24" t="str">
        <f>IF('Master mixes'!B9&gt;2,CONCATENATE('Master mixes'!B4,".1.bact"))</f>
        <v>sample 3.1.bact</v>
      </c>
      <c r="K6" s="24" t="str">
        <f>IF('Master mixes'!B9&gt;2,CONCATENATE('Master mixes'!B4,".01.bact"))</f>
        <v>sample 3.01.bact</v>
      </c>
      <c r="L6" s="23" t="str">
        <f>IF('Master mixes'!$B$9&gt;2,IF('Master mixes'!$B$9&gt;3,CONCATENATE('Master mixes'!$B$5,".library.bact"),"Bact Neg"))</f>
        <v>sample 4.library.bact</v>
      </c>
      <c r="M6" s="23" t="str">
        <f>IF('Master mixes'!B9&gt;3,CONCATENATE('Master mixes'!B5,".1.bact"))</f>
        <v>sample 4.1.bact</v>
      </c>
      <c r="N6" s="39" t="str">
        <f>IF('Master mixes'!B9&gt;3,CONCATENATE('Master mixes'!B5,".01.bact"))</f>
        <v>sample 4.01.bact</v>
      </c>
    </row>
    <row r="7" spans="1:14" ht="35.1" customHeight="1" x14ac:dyDescent="0.25">
      <c r="A7" s="14" t="s">
        <v>135</v>
      </c>
      <c r="B7" s="27" t="s">
        <v>103</v>
      </c>
      <c r="C7" s="37" t="str">
        <f>CONCATENATE('Master mixes'!B2,".library.fung",)</f>
        <v>sample 1.library.fung</v>
      </c>
      <c r="D7" s="24" t="str">
        <f>CONCATENATE('Master mixes'!B2,".1.fung",)</f>
        <v>sample 1.1.fung</v>
      </c>
      <c r="E7" s="24" t="str">
        <f>CONCATENATE('Master mixes'!B2,".01.fung",)</f>
        <v>sample 1.01.fung</v>
      </c>
      <c r="F7" s="23" t="str">
        <f>IF('Master mixes'!$B$9&gt;0,IF('Master mixes'!$B$9&gt;1,CONCATENATE('Master mixes'!$B$3,".library.fung"),"Fungi Neg"))</f>
        <v>sample 2.library.fung</v>
      </c>
      <c r="G7" s="23" t="str">
        <f>IF('Master mixes'!B9&gt;1,CONCATENATE('Master mixes'!B3,".1.fung"))</f>
        <v>sample 2.1.fung</v>
      </c>
      <c r="H7" s="23" t="str">
        <f>IF('Master mixes'!B9&gt;1,CONCATENATE('Master mixes'!B3,".01.fung"))</f>
        <v>sample 2.01.fung</v>
      </c>
      <c r="I7" s="24" t="str">
        <f>IF('Master mixes'!$B$9&gt;1,IF('Master mixes'!$B$9&gt;2,CONCATENATE('Master mixes'!$B$4,".library.fung"),"Fungi Neg"))</f>
        <v>sample 3.library.fung</v>
      </c>
      <c r="J7" s="24" t="str">
        <f>IF('Master mixes'!B9&gt;2,CONCATENATE('Master mixes'!B4,".1.fung"))</f>
        <v>sample 3.1.fung</v>
      </c>
      <c r="K7" s="24" t="str">
        <f>IF('Master mixes'!B9&gt;2,CONCATENATE('Master mixes'!B4,".01.fung"))</f>
        <v>sample 3.01.fung</v>
      </c>
      <c r="L7" s="23" t="str">
        <f>IF('Master mixes'!$B$9&gt;2,IF('Master mixes'!$B$9&gt;3,CONCATENATE('Master mixes'!$B$5,".library.fung"),"Fungi Neg"))</f>
        <v>sample 4.library.fung</v>
      </c>
      <c r="M7" s="23" t="str">
        <f>IF('Master mixes'!B9&gt;3,CONCATENATE('Master mixes'!B5,".1.fung"))</f>
        <v>sample 4.1.fung</v>
      </c>
      <c r="N7" s="39" t="str">
        <f>IF('Master mixes'!B9&gt;3,CONCATENATE('Master mixes'!B5,".01.fung"))</f>
        <v>sample 4.01.fung</v>
      </c>
    </row>
    <row r="8" spans="1:14" ht="35.1" customHeight="1" x14ac:dyDescent="0.25">
      <c r="A8" s="14" t="str">
        <f>IF('Master mixes'!$B$9&gt;3,A4,"")</f>
        <v>Plant nuclear</v>
      </c>
      <c r="B8" s="27" t="s">
        <v>104</v>
      </c>
      <c r="C8" s="32" t="str">
        <f>IF('Master mixes'!$B$9&gt;3,IF('Master mixes'!$B$9&gt;4,CONCATENATE('Master mixes'!$B$6,".library.nuclear"),"Nucl Neg"))</f>
        <v>sample 5.library.nuclear</v>
      </c>
      <c r="D8" s="23" t="str">
        <f>IF('Master mixes'!B9&gt;4,CONCATENATE('Master mixes'!B6,".1.nuclear"))</f>
        <v>sample 5.1.nuclear</v>
      </c>
      <c r="E8" s="23" t="str">
        <f>IF('Master mixes'!B9&gt;4,CONCATENATE('Master mixes'!B6,".01.nuclear"))</f>
        <v>sample 5.01.nuclear</v>
      </c>
      <c r="F8" s="24" t="str">
        <f>IF('Master mixes'!$B$9&gt;4,IF('Master mixes'!$B$9&gt;5,CONCATENATE('Master mixes'!$B$7,".library.nuclear"),"Nucl Neg"))</f>
        <v>sample 6.library.nuclear</v>
      </c>
      <c r="G8" s="24" t="str">
        <f>IF('Master mixes'!B9&gt;5,CONCATENATE('Master mixes'!B7,".1.nuclear"))</f>
        <v>sample 6.1.nuclear</v>
      </c>
      <c r="H8" s="24" t="str">
        <f>IF('Master mixes'!B9&gt;5,CONCATENATE('Master mixes'!B7,".01.nuclear"))</f>
        <v>sample 6.01.nuclear</v>
      </c>
      <c r="I8" s="23" t="str">
        <f>IF('Master mixes'!$B$9&gt;5,IF('Master mixes'!$B$9&gt;6,CONCATENATE('Master mixes'!$B$8,".library.nuclear"),"Nucl Neg"))</f>
        <v>sample 7.library.nuclear</v>
      </c>
      <c r="J8" s="23" t="str">
        <f>IF('Master mixes'!B9&gt;6,CONCATENATE('Master mixes'!B8,".1.nuclear"))</f>
        <v>sample 7.1.nuclear</v>
      </c>
      <c r="K8" s="23" t="str">
        <f>IF('Master mixes'!B9&gt;6,CONCATENATE('Master mixes'!B8,".01.nuclear"))</f>
        <v>sample 7.01.nuclear</v>
      </c>
      <c r="L8" s="24" t="str">
        <f>IF('Master mixes'!$B$9&gt;6,"Nucl Neg")</f>
        <v>Nucl Neg</v>
      </c>
      <c r="M8" s="25"/>
      <c r="N8" s="40"/>
    </row>
    <row r="9" spans="1:14" ht="35.1" customHeight="1" x14ac:dyDescent="0.25">
      <c r="A9" s="14" t="str">
        <f>IF('Master mixes'!$B$9&gt;3,A5,"")</f>
        <v>Plant chloroplast</v>
      </c>
      <c r="B9" s="28" t="s">
        <v>105</v>
      </c>
      <c r="C9" s="32" t="str">
        <f>IF('Master mixes'!$B$9&gt;3,IF('Master mixes'!$B$9&gt;4,CONCATENATE('Master mixes'!$B$6,".library.chlor"),"Chloro Neg"))</f>
        <v>sample 5.library.chlor</v>
      </c>
      <c r="D9" s="23" t="str">
        <f>IF('Master mixes'!B9&gt;4,CONCATENATE('Master mixes'!B6,".1.chlor"))</f>
        <v>sample 5.1.chlor</v>
      </c>
      <c r="E9" s="23" t="str">
        <f>IF('Master mixes'!B9&gt;4,CONCATENATE('Master mixes'!B6,".01.chlor"))</f>
        <v>sample 5.01.chlor</v>
      </c>
      <c r="F9" s="24" t="str">
        <f>IF('Master mixes'!$B$9&gt;4,IF('Master mixes'!$B$9&gt;5,CONCATENATE('Master mixes'!$B$7,".library.chlor"),"Chloro Neg"))</f>
        <v>sample 6.library.chlor</v>
      </c>
      <c r="G9" s="24" t="str">
        <f>IF('Master mixes'!B9&gt;5,CONCATENATE('Master mixes'!B7,".1.chlor"))</f>
        <v>sample 6.1.chlor</v>
      </c>
      <c r="H9" s="24" t="str">
        <f>IF('Master mixes'!B9&gt;5,CONCATENATE('Master mixes'!B7,".01.chlor"))</f>
        <v>sample 6.01.chlor</v>
      </c>
      <c r="I9" s="23" t="str">
        <f>IF('Master mixes'!$B$9&gt;5,IF('Master mixes'!$B$9&gt;6,CONCATENATE('Master mixes'!$B$8,".library.chloro"),"Chloro Neg"))</f>
        <v>sample 7.library.chloro</v>
      </c>
      <c r="J9" s="23" t="str">
        <f>IF('Master mixes'!B9&gt;6,CONCATENATE('Master mixes'!B8,".1.chlor"))</f>
        <v>sample 7.1.chlor</v>
      </c>
      <c r="K9" s="23" t="str">
        <f>IF('Master mixes'!B9&gt;6,CONCATENATE('Master mixes'!B8,".01.chlor"))</f>
        <v>sample 7.01.chlor</v>
      </c>
      <c r="L9" s="24" t="str">
        <f>IF('Master mixes'!$B$9&gt;6,"Chloro Neg")</f>
        <v>Chloro Neg</v>
      </c>
      <c r="M9" s="25"/>
      <c r="N9" s="40"/>
    </row>
    <row r="10" spans="1:14" ht="35.1" customHeight="1" x14ac:dyDescent="0.25">
      <c r="A10" s="14" t="str">
        <f>IF('Master mixes'!$B$9&gt;3,A6,"")</f>
        <v>Bacteria</v>
      </c>
      <c r="B10" s="28" t="s">
        <v>136</v>
      </c>
      <c r="C10" s="32" t="str">
        <f>IF('Master mixes'!$B$9&gt;3,IF('Master mixes'!$B$9&gt;4,CONCATENATE('Master mixes'!$B$6,".library.bact"),"Bact Neg"))</f>
        <v>sample 5.library.bact</v>
      </c>
      <c r="D10" s="23" t="str">
        <f>IF('Master mixes'!B9&gt;4,CONCATENATE('Master mixes'!B6,".1.bact"))</f>
        <v>sample 5.1.bact</v>
      </c>
      <c r="E10" s="23" t="str">
        <f>IF('Master mixes'!B9&gt;4,CONCATENATE('Master mixes'!B6,".01.bact"))</f>
        <v>sample 5.01.bact</v>
      </c>
      <c r="F10" s="24" t="str">
        <f>IF('Master mixes'!$B$9&gt;4,IF('Master mixes'!$B$9&gt;5,CONCATENATE('Master mixes'!$B$7,".library.bact"),"Bact Neg"))</f>
        <v>sample 6.library.bact</v>
      </c>
      <c r="G10" s="24" t="str">
        <f>IF('Master mixes'!B9&gt;5,CONCATENATE('Master mixes'!B7,".1.bact"))</f>
        <v>sample 6.1.bact</v>
      </c>
      <c r="H10" s="24" t="str">
        <f>IF('Master mixes'!B9&gt;5,CONCATENATE('Master mixes'!B7,".01.bact"))</f>
        <v>sample 6.01.bact</v>
      </c>
      <c r="I10" s="23" t="str">
        <f>IF('Master mixes'!$B$9&gt;5,IF('Master mixes'!$B$9&gt;6,CONCATENATE('Master mixes'!$B$8,".library.bact"),"Bact Neg"))</f>
        <v>sample 7.library.bact</v>
      </c>
      <c r="J10" s="23" t="str">
        <f>IF('Master mixes'!B9&gt;6,CONCATENATE('Master mixes'!B8,".1.bact"))</f>
        <v>sample 7.1.bact</v>
      </c>
      <c r="K10" s="23" t="str">
        <f>IF('Master mixes'!B9&gt;6,CONCATENATE('Master mixes'!B8,".01.bact"))</f>
        <v>sample 7.01.bact</v>
      </c>
      <c r="L10" s="24" t="str">
        <f>IF('Master mixes'!$B$9&gt;6,"Bact Neg")</f>
        <v>Bact Neg</v>
      </c>
      <c r="M10" s="25"/>
      <c r="N10" s="40"/>
    </row>
    <row r="11" spans="1:14" ht="35.1" customHeight="1" thickBot="1" x14ac:dyDescent="0.3">
      <c r="A11" s="14" t="str">
        <f>IF('Master mixes'!$B$9&gt;3,A7,"")</f>
        <v>Fungi</v>
      </c>
      <c r="B11" s="28" t="s">
        <v>137</v>
      </c>
      <c r="C11" s="33" t="str">
        <f>IF('Master mixes'!$B$9&gt;3,IF('Master mixes'!$B$9&gt;4,CONCATENATE('Master mixes'!$B$6,".library.fung"),"Fungi Neg"))</f>
        <v>sample 5.library.fung</v>
      </c>
      <c r="D11" s="41" t="str">
        <f>IF('Master mixes'!B9&gt;4,CONCATENATE('Master mixes'!B6,".1.fung"))</f>
        <v>sample 5.1.fung</v>
      </c>
      <c r="E11" s="41" t="str">
        <f>IF('Master mixes'!B9&gt;4,CONCATENATE('Master mixes'!B6,".01.fung"))</f>
        <v>sample 5.01.fung</v>
      </c>
      <c r="F11" s="34" t="str">
        <f>IF('Master mixes'!$B$9&gt;4,IF('Master mixes'!$B$9&gt;5,CONCATENATE('Master mixes'!$B$7,".library.fung"),"Fungi Neg"))</f>
        <v>sample 6.library.fung</v>
      </c>
      <c r="G11" s="34" t="str">
        <f>IF('Master mixes'!B9&gt;5,CONCATENATE('Master mixes'!B7,".1.fung"))</f>
        <v>sample 6.1.fung</v>
      </c>
      <c r="H11" s="34" t="str">
        <f>IF('Master mixes'!B9&gt;5,CONCATENATE('Master mixes'!B7,".01.fung"))</f>
        <v>sample 6.01.fung</v>
      </c>
      <c r="I11" s="41" t="str">
        <f>IF('Master mixes'!$B$9&gt;5,IF('Master mixes'!$B$9&gt;6,CONCATENATE('Master mixes'!$B$8,".library.fung"),"Fungi Neg"))</f>
        <v>sample 7.library.fung</v>
      </c>
      <c r="J11" s="41" t="str">
        <f>IF('Master mixes'!B9&gt;6,CONCATENATE('Master mixes'!B8,".1.fung"))</f>
        <v>sample 7.1.fung</v>
      </c>
      <c r="K11" s="41" t="str">
        <f>IF('Master mixes'!B9&gt;6,CONCATENATE('Master mixes'!B8,".01.fung"))</f>
        <v>sample 7.01.fung</v>
      </c>
      <c r="L11" s="34" t="str">
        <f>IF('Master mixes'!$B$9&gt;6,"Fungi Neg")</f>
        <v>Fungi Neg</v>
      </c>
      <c r="M11" s="35"/>
      <c r="N11" s="42"/>
    </row>
    <row r="12" spans="1:14" ht="15" customHeight="1" x14ac:dyDescent="0.25">
      <c r="A12" s="16"/>
      <c r="C12" s="19" t="str">
        <f>IF(ISNUMBER(FIND("dilutions",C13)),"100%","")</f>
        <v>100%</v>
      </c>
      <c r="D12" s="19" t="str">
        <f>IF(ISNUMBER(FIND("dilutions",C13)),"10%","")</f>
        <v>10%</v>
      </c>
      <c r="E12" s="19" t="str">
        <f>IF(ISNUMBER(FIND("dilutions",C13)),"1%","")</f>
        <v>1%</v>
      </c>
      <c r="F12" s="20" t="str">
        <f>IF(ISNUMBER(FIND("dilutions",F13)),"100%","")</f>
        <v>100%</v>
      </c>
      <c r="G12" s="20" t="str">
        <f>IF(ISNUMBER(FIND("dilutions",F13)),"10%","")</f>
        <v>10%</v>
      </c>
      <c r="H12" s="20" t="str">
        <f>IF(ISNUMBER(FIND("dilutions",F13)),"1%","")</f>
        <v>1%</v>
      </c>
      <c r="I12" s="19" t="str">
        <f>IF(ISNUMBER(FIND("dilutions",I13)),"100%","")</f>
        <v>100%</v>
      </c>
      <c r="J12" s="19" t="str">
        <f>IF(ISNUMBER(FIND("dilutions",I13)),"10%","")</f>
        <v>10%</v>
      </c>
      <c r="K12" s="19" t="str">
        <f>IF(ISNUMBER(FIND("dilutions",I13)),"1%","")</f>
        <v>1%</v>
      </c>
      <c r="L12" s="29"/>
      <c r="N12" s="4"/>
    </row>
    <row r="13" spans="1:14" ht="15" customHeight="1" x14ac:dyDescent="0.25">
      <c r="A13" s="7"/>
      <c r="C13" s="139" t="str">
        <f>IF('Master mixes'!B9&gt;4,CONCATENATE('Master mixes'!B6," dilutions"),IF('Master mixes'!B9&gt;3,"Negative controls",""))</f>
        <v>sample 5 dilutions</v>
      </c>
      <c r="D13" s="140"/>
      <c r="E13" s="140"/>
      <c r="F13" s="141" t="str">
        <f>IF('Master mixes'!B9&gt;5,CONCATENATE('Master mixes'!B7," dilutions"),IF('Master mixes'!B9&gt;4,"Negative controls",""))</f>
        <v>sample 6 dilutions</v>
      </c>
      <c r="G13" s="141"/>
      <c r="H13" s="141"/>
      <c r="I13" s="140" t="str">
        <f>IF('Master mixes'!B9&gt;6,CONCATENATE('Master mixes'!B8," dilutions"),IF('Master mixes'!B9&gt;5,"Negative controls",""))</f>
        <v>sample 7 dilutions</v>
      </c>
      <c r="J13" s="140"/>
      <c r="K13" s="140"/>
      <c r="L13" s="4" t="str">
        <f>IF('Master mixes'!$B$9&gt;6,"Negative Controls","")</f>
        <v>Negative Controls</v>
      </c>
      <c r="M13" s="4"/>
      <c r="N13" s="4"/>
    </row>
    <row r="14" spans="1:14" ht="15" customHeight="1" thickBot="1" x14ac:dyDescent="0.3">
      <c r="A14" s="7"/>
      <c r="G14" s="7"/>
      <c r="H14" s="7"/>
      <c r="I14" s="7"/>
      <c r="J14" s="7"/>
      <c r="K14" s="7"/>
    </row>
    <row r="15" spans="1:14" ht="15" customHeight="1" x14ac:dyDescent="0.25">
      <c r="A15" s="7"/>
      <c r="F15" s="133" t="s">
        <v>97</v>
      </c>
      <c r="G15" s="134"/>
      <c r="H15" s="134"/>
      <c r="I15" s="134"/>
      <c r="J15" s="135"/>
      <c r="K15" s="7"/>
    </row>
    <row r="16" spans="1:14" ht="15" customHeight="1" x14ac:dyDescent="0.25">
      <c r="A16" s="7"/>
      <c r="F16" s="17" t="s">
        <v>117</v>
      </c>
      <c r="G16" s="128" t="s">
        <v>120</v>
      </c>
      <c r="H16" s="128"/>
      <c r="I16" s="128" t="s">
        <v>119</v>
      </c>
      <c r="J16" s="129"/>
      <c r="K16" s="7"/>
    </row>
    <row r="17" spans="1:11" ht="15" customHeight="1" x14ac:dyDescent="0.25">
      <c r="A17" s="7"/>
      <c r="F17" s="17">
        <v>1</v>
      </c>
      <c r="G17" s="128">
        <v>95</v>
      </c>
      <c r="H17" s="128"/>
      <c r="I17" s="136" t="s">
        <v>121</v>
      </c>
      <c r="J17" s="137"/>
      <c r="K17" s="7"/>
    </row>
    <row r="18" spans="1:11" ht="15" customHeight="1" x14ac:dyDescent="0.25">
      <c r="A18" s="7"/>
      <c r="F18" s="17">
        <v>2</v>
      </c>
      <c r="G18" s="128">
        <v>95</v>
      </c>
      <c r="H18" s="128"/>
      <c r="I18" s="136" t="s">
        <v>122</v>
      </c>
      <c r="J18" s="137"/>
      <c r="K18" s="7"/>
    </row>
    <row r="19" spans="1:11" ht="15" customHeight="1" x14ac:dyDescent="0.25">
      <c r="A19" s="7"/>
      <c r="F19" s="17">
        <v>3</v>
      </c>
      <c r="G19" s="128">
        <v>54</v>
      </c>
      <c r="H19" s="128"/>
      <c r="I19" s="136" t="s">
        <v>123</v>
      </c>
      <c r="J19" s="137"/>
      <c r="K19" s="7"/>
    </row>
    <row r="20" spans="1:11" ht="15" customHeight="1" x14ac:dyDescent="0.25">
      <c r="A20" s="7"/>
      <c r="F20" s="17">
        <v>4</v>
      </c>
      <c r="G20" s="132">
        <v>72</v>
      </c>
      <c r="H20" s="132"/>
      <c r="I20" s="136" t="s">
        <v>123</v>
      </c>
      <c r="J20" s="137"/>
      <c r="K20" s="7"/>
    </row>
    <row r="21" spans="1:11" x14ac:dyDescent="0.25">
      <c r="A21" s="7"/>
      <c r="B21" s="7"/>
      <c r="C21" s="7"/>
      <c r="D21" s="7"/>
      <c r="E21" s="7"/>
      <c r="F21" s="17">
        <v>5</v>
      </c>
      <c r="G21" s="128" t="s">
        <v>124</v>
      </c>
      <c r="H21" s="128"/>
      <c r="I21" s="128"/>
      <c r="J21" s="129"/>
      <c r="K21" s="7"/>
    </row>
    <row r="22" spans="1:11" ht="15.75" thickBot="1" x14ac:dyDescent="0.3">
      <c r="F22" s="18">
        <v>6</v>
      </c>
      <c r="G22" s="130" t="s">
        <v>118</v>
      </c>
      <c r="H22" s="130"/>
      <c r="I22" s="130"/>
      <c r="J22" s="131"/>
    </row>
  </sheetData>
  <sheetProtection sheet="1" objects="1" scenarios="1"/>
  <mergeCells count="20">
    <mergeCell ref="L1:N1"/>
    <mergeCell ref="C13:E13"/>
    <mergeCell ref="F13:H13"/>
    <mergeCell ref="I13:K13"/>
    <mergeCell ref="C1:E1"/>
    <mergeCell ref="F1:H1"/>
    <mergeCell ref="I1:K1"/>
    <mergeCell ref="G21:J21"/>
    <mergeCell ref="G22:J22"/>
    <mergeCell ref="G20:H20"/>
    <mergeCell ref="F15:J15"/>
    <mergeCell ref="I16:J16"/>
    <mergeCell ref="I17:J17"/>
    <mergeCell ref="I18:J18"/>
    <mergeCell ref="I19:J19"/>
    <mergeCell ref="I20:J20"/>
    <mergeCell ref="G17:H17"/>
    <mergeCell ref="G18:H18"/>
    <mergeCell ref="G19:H19"/>
    <mergeCell ref="G16:H16"/>
  </mergeCells>
  <conditionalFormatting sqref="F4:N7 C8:L11">
    <cfRule type="cellIs" dxfId="184" priority="3" operator="equal">
      <formula>FALSE</formula>
    </cfRule>
  </conditionalFormatting>
  <conditionalFormatting sqref="C12:E13 I12:K13 F1:H2 L1:N2">
    <cfRule type="containsBlanks" dxfId="183" priority="4">
      <formula>LEN(TRIM(C1))=0</formula>
    </cfRule>
  </conditionalFormatting>
  <conditionalFormatting sqref="C4:N11">
    <cfRule type="containsText" dxfId="182" priority="1" operator="containsText" text="Neg">
      <formula>NOT(ISERROR(SEARCH("Neg",C4)))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/>
  </sheetViews>
  <sheetFormatPr defaultRowHeight="15" x14ac:dyDescent="0.25"/>
  <cols>
    <col min="1" max="1" width="11.7109375" style="6" bestFit="1" customWidth="1"/>
    <col min="2" max="2" width="22.7109375" style="6" bestFit="1" customWidth="1"/>
    <col min="3" max="16384" width="9.140625" style="6"/>
  </cols>
  <sheetData>
    <row r="1" spans="1:2" x14ac:dyDescent="0.25">
      <c r="A1" s="70" t="s">
        <v>79</v>
      </c>
      <c r="B1" s="70" t="s">
        <v>80</v>
      </c>
    </row>
    <row r="2" spans="1:2" x14ac:dyDescent="0.25">
      <c r="A2" s="70" t="str">
        <f>IF('Plate layout'!C4=FALSE,"","A1")</f>
        <v>A1</v>
      </c>
      <c r="B2" s="70" t="str">
        <f>IF('Plate layout'!C4=FALSE,"",'Plate layout'!C4)</f>
        <v>sample 1.library.nuclear</v>
      </c>
    </row>
    <row r="3" spans="1:2" x14ac:dyDescent="0.25">
      <c r="A3" s="70" t="str">
        <f>IF('Plate layout'!D4=FALSE,"","A2")</f>
        <v>A2</v>
      </c>
      <c r="B3" s="70" t="str">
        <f>IF('Plate layout'!D4=FALSE,"",'Plate layout'!D4)</f>
        <v>sample 1.1.nuclear</v>
      </c>
    </row>
    <row r="4" spans="1:2" x14ac:dyDescent="0.25">
      <c r="A4" s="70" t="str">
        <f>IF('Plate layout'!E4=FALSE,"","A3")</f>
        <v>A3</v>
      </c>
      <c r="B4" s="70" t="str">
        <f>IF('Plate layout'!E4=FALSE,"",'Plate layout'!E4)</f>
        <v>sample 1.01.nuclear</v>
      </c>
    </row>
    <row r="5" spans="1:2" x14ac:dyDescent="0.25">
      <c r="A5" s="70" t="str">
        <f>IF('Plate layout'!F4=FALSE,"","A4")</f>
        <v>A4</v>
      </c>
      <c r="B5" s="70" t="str">
        <f>IF('Plate layout'!F4=FALSE,"",'Plate layout'!F4)</f>
        <v>sample 2.library.nuclear</v>
      </c>
    </row>
    <row r="6" spans="1:2" x14ac:dyDescent="0.25">
      <c r="A6" s="70" t="str">
        <f>IF('Plate layout'!G4=FALSE,"","A5")</f>
        <v>A5</v>
      </c>
      <c r="B6" s="70" t="str">
        <f>IF('Plate layout'!G4=FALSE,"",'Plate layout'!G4)</f>
        <v>sample 2.1.nuclear</v>
      </c>
    </row>
    <row r="7" spans="1:2" x14ac:dyDescent="0.25">
      <c r="A7" s="70" t="str">
        <f>IF('Plate layout'!H4=FALSE,"","A6")</f>
        <v>A6</v>
      </c>
      <c r="B7" s="70" t="str">
        <f>IF('Plate layout'!H4=FALSE,"",'Plate layout'!H4)</f>
        <v>sample 2.01.nuclear</v>
      </c>
    </row>
    <row r="8" spans="1:2" x14ac:dyDescent="0.25">
      <c r="A8" s="70" t="str">
        <f>IF('Plate layout'!I4=FALSE,"","A7")</f>
        <v>A7</v>
      </c>
      <c r="B8" s="70" t="str">
        <f>IF('Plate layout'!I4=FALSE,"",'Plate layout'!I4)</f>
        <v>sample 3.library.nuclear</v>
      </c>
    </row>
    <row r="9" spans="1:2" x14ac:dyDescent="0.25">
      <c r="A9" s="70" t="str">
        <f>IF('Plate layout'!J4=FALSE,"","A8")</f>
        <v>A8</v>
      </c>
      <c r="B9" s="70" t="str">
        <f>IF('Plate layout'!J4=FALSE,"",'Plate layout'!J4)</f>
        <v>sample 3.1.nuclear</v>
      </c>
    </row>
    <row r="10" spans="1:2" x14ac:dyDescent="0.25">
      <c r="A10" s="70" t="str">
        <f>IF('Plate layout'!K4=FALSE,"","A9")</f>
        <v>A9</v>
      </c>
      <c r="B10" s="70" t="str">
        <f>IF('Plate layout'!K4=FALSE,"",'Plate layout'!K4)</f>
        <v>sample 3.01.nuclear</v>
      </c>
    </row>
    <row r="11" spans="1:2" x14ac:dyDescent="0.25">
      <c r="A11" s="70" t="str">
        <f>IF('Plate layout'!L4=FALSE,"","A10")</f>
        <v>A10</v>
      </c>
      <c r="B11" s="70" t="str">
        <f>IF('Plate layout'!L4=FALSE,"",'Plate layout'!L4)</f>
        <v>sample 4.library.nuclear</v>
      </c>
    </row>
    <row r="12" spans="1:2" x14ac:dyDescent="0.25">
      <c r="A12" s="70" t="str">
        <f>IF('Plate layout'!M4=FALSE,"","A11")</f>
        <v>A11</v>
      </c>
      <c r="B12" s="70" t="str">
        <f>IF('Plate layout'!M4=FALSE,"",'Plate layout'!M4)</f>
        <v>sample 4.1.nuclear</v>
      </c>
    </row>
    <row r="13" spans="1:2" x14ac:dyDescent="0.25">
      <c r="A13" s="70" t="str">
        <f>IF('Plate layout'!N4=FALSE,"","A12")</f>
        <v>A12</v>
      </c>
      <c r="B13" s="70" t="str">
        <f>IF('Plate layout'!N4=FALSE,"",'Plate layout'!N4)</f>
        <v>sample 4.01.nuclear</v>
      </c>
    </row>
    <row r="14" spans="1:2" x14ac:dyDescent="0.25">
      <c r="A14" s="71" t="str">
        <f>IF('Plate layout'!C5=FALSE,"","B1")</f>
        <v>B1</v>
      </c>
      <c r="B14" s="71" t="str">
        <f>IF('Plate layout'!C5=FALSE,"",'Plate layout'!C5)</f>
        <v>sample 1.library.chlor</v>
      </c>
    </row>
    <row r="15" spans="1:2" x14ac:dyDescent="0.25">
      <c r="A15" s="71" t="str">
        <f>IF('Plate layout'!D5=FALSE,"","B2")</f>
        <v>B2</v>
      </c>
      <c r="B15" s="71" t="str">
        <f>IF('Plate layout'!D5=FALSE,"",'Plate layout'!D5)</f>
        <v>sample 1.1.chlor</v>
      </c>
    </row>
    <row r="16" spans="1:2" x14ac:dyDescent="0.25">
      <c r="A16" s="71" t="str">
        <f>IF('Plate layout'!E5=FALSE,"","B3")</f>
        <v>B3</v>
      </c>
      <c r="B16" s="71" t="str">
        <f>IF('Plate layout'!E5=FALSE,"",'Plate layout'!E5)</f>
        <v>sample 1.01.chlor</v>
      </c>
    </row>
    <row r="17" spans="1:2" x14ac:dyDescent="0.25">
      <c r="A17" s="71" t="str">
        <f>IF('Plate layout'!F5=FALSE,"","B4")</f>
        <v>B4</v>
      </c>
      <c r="B17" s="71" t="str">
        <f>IF('Plate layout'!F5=FALSE,"",'Plate layout'!F5)</f>
        <v>sample 2.library.chlor</v>
      </c>
    </row>
    <row r="18" spans="1:2" x14ac:dyDescent="0.25">
      <c r="A18" s="72" t="str">
        <f>IF('Plate layout'!G5=FALSE,"","B5")</f>
        <v>B5</v>
      </c>
      <c r="B18" s="72" t="str">
        <f>IF('Plate layout'!G5=FALSE,"",'Plate layout'!G5)</f>
        <v>sample 2.1.chlor</v>
      </c>
    </row>
    <row r="19" spans="1:2" x14ac:dyDescent="0.25">
      <c r="A19" s="72" t="str">
        <f>IF('Plate layout'!H5=FALSE,"","B6")</f>
        <v>B6</v>
      </c>
      <c r="B19" s="72" t="str">
        <f>IF('Plate layout'!H5=FALSE,"",'Plate layout'!H5)</f>
        <v>sample 2.01.chlor</v>
      </c>
    </row>
    <row r="20" spans="1:2" x14ac:dyDescent="0.25">
      <c r="A20" s="72" t="str">
        <f>IF('Plate layout'!I5=FALSE,"","B7")</f>
        <v>B7</v>
      </c>
      <c r="B20" s="72" t="str">
        <f>IF('Plate layout'!I5=FALSE,"",'Plate layout'!I5)</f>
        <v>sample 3.library.chlor</v>
      </c>
    </row>
    <row r="21" spans="1:2" x14ac:dyDescent="0.25">
      <c r="A21" s="72" t="str">
        <f>IF('Plate layout'!J5=FALSE,"","B8")</f>
        <v>B8</v>
      </c>
      <c r="B21" s="72" t="str">
        <f>IF('Plate layout'!J5=FALSE,"",'Plate layout'!J5)</f>
        <v>sample 3.1.chlor</v>
      </c>
    </row>
    <row r="22" spans="1:2" x14ac:dyDescent="0.25">
      <c r="A22" s="72" t="str">
        <f>IF('Plate layout'!K5=FALSE,"","B9")</f>
        <v>B9</v>
      </c>
      <c r="B22" s="72" t="str">
        <f>IF('Plate layout'!K5=FALSE,"",'Plate layout'!K5)</f>
        <v>sample 3.01.chlor</v>
      </c>
    </row>
    <row r="23" spans="1:2" x14ac:dyDescent="0.25">
      <c r="A23" s="72" t="str">
        <f>IF('Plate layout'!L5=FALSE,"","B10")</f>
        <v>B10</v>
      </c>
      <c r="B23" s="72" t="str">
        <f>IF('Plate layout'!L5=FALSE,"",'Plate layout'!L5)</f>
        <v>sample 4.library.chlor</v>
      </c>
    </row>
    <row r="24" spans="1:2" x14ac:dyDescent="0.25">
      <c r="A24" s="72" t="str">
        <f>IF('Plate layout'!M5=FALSE,"","B11")</f>
        <v>B11</v>
      </c>
      <c r="B24" s="72" t="str">
        <f>IF('Plate layout'!M5=FALSE,"",'Plate layout'!M5)</f>
        <v>sample 4.1.chlor</v>
      </c>
    </row>
    <row r="25" spans="1:2" x14ac:dyDescent="0.25">
      <c r="A25" s="72" t="str">
        <f>IF('Plate layout'!N5=FALSE,"","B12")</f>
        <v>B12</v>
      </c>
      <c r="B25" s="72" t="str">
        <f>IF('Plate layout'!N5=FALSE,"",'Plate layout'!N5)</f>
        <v>sample 4.01.chlor</v>
      </c>
    </row>
    <row r="26" spans="1:2" x14ac:dyDescent="0.25">
      <c r="A26" s="72" t="str">
        <f>IF('Plate layout'!C6=FALSE,"","C1")</f>
        <v>C1</v>
      </c>
      <c r="B26" s="72" t="str">
        <f>IF('Plate layout'!C6=FALSE,"",'Plate layout'!C6)</f>
        <v>sample 1.library.bact</v>
      </c>
    </row>
    <row r="27" spans="1:2" x14ac:dyDescent="0.25">
      <c r="A27" s="72" t="str">
        <f>IF('Plate layout'!D6=FALSE,"","C2")</f>
        <v>C2</v>
      </c>
      <c r="B27" s="72" t="str">
        <f>IF('Plate layout'!D6=FALSE,"",'Plate layout'!D6)</f>
        <v>sample 1.1.bact</v>
      </c>
    </row>
    <row r="28" spans="1:2" x14ac:dyDescent="0.25">
      <c r="A28" s="72" t="str">
        <f>IF('Plate layout'!E6=FALSE,"","C3")</f>
        <v>C3</v>
      </c>
      <c r="B28" s="72" t="str">
        <f>IF('Plate layout'!E6=FALSE,"",'Plate layout'!E6)</f>
        <v>sample 1.01.bact</v>
      </c>
    </row>
    <row r="29" spans="1:2" x14ac:dyDescent="0.25">
      <c r="A29" s="72" t="str">
        <f>IF('Plate layout'!F6=FALSE,"","C4")</f>
        <v>C4</v>
      </c>
      <c r="B29" s="72" t="str">
        <f>IF('Plate layout'!F6=FALSE,"",'Plate layout'!F6)</f>
        <v>sample 2.library.bact</v>
      </c>
    </row>
    <row r="30" spans="1:2" x14ac:dyDescent="0.25">
      <c r="A30" s="72" t="str">
        <f>IF('Plate layout'!G6=FALSE,"","C5")</f>
        <v>C5</v>
      </c>
      <c r="B30" s="72" t="str">
        <f>IF('Plate layout'!G6=FALSE,"",'Plate layout'!G6)</f>
        <v>sample 2.1.bact</v>
      </c>
    </row>
    <row r="31" spans="1:2" x14ac:dyDescent="0.25">
      <c r="A31" s="72" t="str">
        <f>IF('Plate layout'!H6=FALSE,"","C6")</f>
        <v>C6</v>
      </c>
      <c r="B31" s="72" t="str">
        <f>IF('Plate layout'!H6=FALSE,"",'Plate layout'!H6)</f>
        <v>sample 2.01.bact</v>
      </c>
    </row>
    <row r="32" spans="1:2" x14ac:dyDescent="0.25">
      <c r="A32" s="72" t="str">
        <f>IF('Plate layout'!I6=FALSE,"","C7")</f>
        <v>C7</v>
      </c>
      <c r="B32" s="72" t="str">
        <f>IF('Plate layout'!I6=FALSE,"",'Plate layout'!I6)</f>
        <v>sample 3.library.bact</v>
      </c>
    </row>
    <row r="33" spans="1:2" x14ac:dyDescent="0.25">
      <c r="A33" s="72" t="str">
        <f>IF('Plate layout'!J6=FALSE,"","C8")</f>
        <v>C8</v>
      </c>
      <c r="B33" s="72" t="str">
        <f>IF('Plate layout'!J6=FALSE,"",'Plate layout'!J6)</f>
        <v>sample 3.1.bact</v>
      </c>
    </row>
    <row r="34" spans="1:2" x14ac:dyDescent="0.25">
      <c r="A34" s="72" t="str">
        <f>IF('Plate layout'!K6=FALSE,"","C9")</f>
        <v>C9</v>
      </c>
      <c r="B34" s="72" t="str">
        <f>IF('Plate layout'!K6=FALSE,"",'Plate layout'!K6)</f>
        <v>sample 3.01.bact</v>
      </c>
    </row>
    <row r="35" spans="1:2" x14ac:dyDescent="0.25">
      <c r="A35" s="72" t="str">
        <f>IF('Plate layout'!L6=FALSE,"","C10")</f>
        <v>C10</v>
      </c>
      <c r="B35" s="72" t="str">
        <f>IF('Plate layout'!L6=FALSE,"",'Plate layout'!L6)</f>
        <v>sample 4.library.bact</v>
      </c>
    </row>
    <row r="36" spans="1:2" x14ac:dyDescent="0.25">
      <c r="A36" s="72" t="str">
        <f>IF('Plate layout'!M6=FALSE,"","C11")</f>
        <v>C11</v>
      </c>
      <c r="B36" s="72" t="str">
        <f>IF('Plate layout'!M6=FALSE,"",'Plate layout'!M6)</f>
        <v>sample 4.1.bact</v>
      </c>
    </row>
    <row r="37" spans="1:2" x14ac:dyDescent="0.25">
      <c r="A37" s="72" t="str">
        <f>IF('Plate layout'!N6=FALSE,"","C12")</f>
        <v>C12</v>
      </c>
      <c r="B37" s="72" t="str">
        <f>IF('Plate layout'!N6=FALSE,"",'Plate layout'!N6)</f>
        <v>sample 4.01.bact</v>
      </c>
    </row>
    <row r="38" spans="1:2" x14ac:dyDescent="0.25">
      <c r="A38" s="72" t="str">
        <f>IF('Plate layout'!C7=FALSE,"","D1")</f>
        <v>D1</v>
      </c>
      <c r="B38" s="72" t="str">
        <f>IF('Plate layout'!C7=FALSE,"",'Plate layout'!C7)</f>
        <v>sample 1.library.fung</v>
      </c>
    </row>
    <row r="39" spans="1:2" x14ac:dyDescent="0.25">
      <c r="A39" s="72" t="str">
        <f>IF('Plate layout'!D7=FALSE,"","D2")</f>
        <v>D2</v>
      </c>
      <c r="B39" s="72" t="str">
        <f>IF('Plate layout'!D7=FALSE,"",'Plate layout'!D7)</f>
        <v>sample 1.1.fung</v>
      </c>
    </row>
    <row r="40" spans="1:2" x14ac:dyDescent="0.25">
      <c r="A40" s="72" t="str">
        <f>IF('Plate layout'!E7=FALSE,"","D3")</f>
        <v>D3</v>
      </c>
      <c r="B40" s="72" t="str">
        <f>IF('Plate layout'!E7=FALSE,"",'Plate layout'!E7)</f>
        <v>sample 1.01.fung</v>
      </c>
    </row>
    <row r="41" spans="1:2" x14ac:dyDescent="0.25">
      <c r="A41" s="72" t="str">
        <f>IF('Plate layout'!F7=FALSE,"","D4")</f>
        <v>D4</v>
      </c>
      <c r="B41" s="72" t="str">
        <f>IF('Plate layout'!F7=FALSE,"",'Plate layout'!F7)</f>
        <v>sample 2.library.fung</v>
      </c>
    </row>
    <row r="42" spans="1:2" x14ac:dyDescent="0.25">
      <c r="A42" s="72" t="str">
        <f>IF('Plate layout'!G7=FALSE,"","D5")</f>
        <v>D5</v>
      </c>
      <c r="B42" s="72" t="str">
        <f>IF('Plate layout'!G7=FALSE,"",'Plate layout'!G7)</f>
        <v>sample 2.1.fung</v>
      </c>
    </row>
    <row r="43" spans="1:2" x14ac:dyDescent="0.25">
      <c r="A43" s="72" t="str">
        <f>IF('Plate layout'!H7=FALSE,"","D6")</f>
        <v>D6</v>
      </c>
      <c r="B43" s="72" t="str">
        <f>IF('Plate layout'!H7=FALSE,"",'Plate layout'!H7)</f>
        <v>sample 2.01.fung</v>
      </c>
    </row>
    <row r="44" spans="1:2" x14ac:dyDescent="0.25">
      <c r="A44" s="72" t="str">
        <f>IF('Plate layout'!I7=FALSE,"","D7")</f>
        <v>D7</v>
      </c>
      <c r="B44" s="72" t="str">
        <f>IF('Plate layout'!I7=FALSE,"",'Plate layout'!I7)</f>
        <v>sample 3.library.fung</v>
      </c>
    </row>
    <row r="45" spans="1:2" x14ac:dyDescent="0.25">
      <c r="A45" s="72" t="str">
        <f>IF('Plate layout'!J7=FALSE,"","D8")</f>
        <v>D8</v>
      </c>
      <c r="B45" s="72" t="str">
        <f>IF('Plate layout'!J7=FALSE,"",'Plate layout'!J7)</f>
        <v>sample 3.1.fung</v>
      </c>
    </row>
    <row r="46" spans="1:2" x14ac:dyDescent="0.25">
      <c r="A46" s="72" t="str">
        <f>IF('Plate layout'!K7=FALSE,"","D9")</f>
        <v>D9</v>
      </c>
      <c r="B46" s="72" t="str">
        <f>IF('Plate layout'!K7=FALSE,"",'Plate layout'!K7)</f>
        <v>sample 3.01.fung</v>
      </c>
    </row>
    <row r="47" spans="1:2" x14ac:dyDescent="0.25">
      <c r="A47" s="72" t="str">
        <f>IF('Plate layout'!L7=FALSE,"","D10")</f>
        <v>D10</v>
      </c>
      <c r="B47" s="72" t="str">
        <f>IF('Plate layout'!L7=FALSE,"",'Plate layout'!L7)</f>
        <v>sample 4.library.fung</v>
      </c>
    </row>
    <row r="48" spans="1:2" x14ac:dyDescent="0.25">
      <c r="A48" s="72" t="str">
        <f>IF('Plate layout'!M7=FALSE,"","D11")</f>
        <v>D11</v>
      </c>
      <c r="B48" s="72" t="str">
        <f>IF('Plate layout'!M7=FALSE,"",'Plate layout'!M7)</f>
        <v>sample 4.1.fung</v>
      </c>
    </row>
    <row r="49" spans="1:2" x14ac:dyDescent="0.25">
      <c r="A49" s="72" t="str">
        <f>IF('Plate layout'!N7=FALSE,"","D12")</f>
        <v>D12</v>
      </c>
      <c r="B49" s="72" t="str">
        <f>IF('Plate layout'!N7=FALSE,"",'Plate layout'!N7)</f>
        <v>sample 4.01.fung</v>
      </c>
    </row>
    <row r="50" spans="1:2" x14ac:dyDescent="0.25">
      <c r="A50" s="72" t="str">
        <f>IF('Plate layout'!C8=FALSE,"","E1")</f>
        <v>E1</v>
      </c>
      <c r="B50" s="72" t="str">
        <f>IF('Plate layout'!C8=FALSE,"",'Plate layout'!C8)</f>
        <v>sample 5.library.nuclear</v>
      </c>
    </row>
    <row r="51" spans="1:2" x14ac:dyDescent="0.25">
      <c r="A51" s="72" t="str">
        <f>IF('Plate layout'!D8=FALSE,"","E2")</f>
        <v>E2</v>
      </c>
      <c r="B51" s="72" t="str">
        <f>IF('Plate layout'!D8=FALSE,"",'Plate layout'!D8)</f>
        <v>sample 5.1.nuclear</v>
      </c>
    </row>
    <row r="52" spans="1:2" x14ac:dyDescent="0.25">
      <c r="A52" s="72" t="str">
        <f>IF('Plate layout'!E8=FALSE,"","E3")</f>
        <v>E3</v>
      </c>
      <c r="B52" s="72" t="str">
        <f>IF('Plate layout'!E8=FALSE,"",'Plate layout'!E8)</f>
        <v>sample 5.01.nuclear</v>
      </c>
    </row>
    <row r="53" spans="1:2" x14ac:dyDescent="0.25">
      <c r="A53" s="72" t="str">
        <f>IF('Plate layout'!F8=FALSE,"","E4")</f>
        <v>E4</v>
      </c>
      <c r="B53" s="72" t="str">
        <f>IF('Plate layout'!F8=FALSE,"",'Plate layout'!F8)</f>
        <v>sample 6.library.nuclear</v>
      </c>
    </row>
    <row r="54" spans="1:2" x14ac:dyDescent="0.25">
      <c r="A54" s="72" t="str">
        <f>IF('Plate layout'!G8=FALSE,"","E5")</f>
        <v>E5</v>
      </c>
      <c r="B54" s="72" t="str">
        <f>IF('Plate layout'!G8=FALSE,"",'Plate layout'!G8)</f>
        <v>sample 6.1.nuclear</v>
      </c>
    </row>
    <row r="55" spans="1:2" x14ac:dyDescent="0.25">
      <c r="A55" s="72" t="str">
        <f>IF('Plate layout'!H8=FALSE,"","E6")</f>
        <v>E6</v>
      </c>
      <c r="B55" s="72" t="str">
        <f>IF('Plate layout'!H8=FALSE,"",'Plate layout'!H8)</f>
        <v>sample 6.01.nuclear</v>
      </c>
    </row>
    <row r="56" spans="1:2" x14ac:dyDescent="0.25">
      <c r="A56" s="72" t="str">
        <f>IF('Plate layout'!I8=FALSE,"","E7")</f>
        <v>E7</v>
      </c>
      <c r="B56" s="72" t="str">
        <f>IF('Plate layout'!I8=FALSE,"",'Plate layout'!I8)</f>
        <v>sample 7.library.nuclear</v>
      </c>
    </row>
    <row r="57" spans="1:2" x14ac:dyDescent="0.25">
      <c r="A57" s="72" t="str">
        <f>IF('Plate layout'!J8=FALSE,"","E8")</f>
        <v>E8</v>
      </c>
      <c r="B57" s="72" t="str">
        <f>IF('Plate layout'!J8=FALSE,"",'Plate layout'!J8)</f>
        <v>sample 7.1.nuclear</v>
      </c>
    </row>
    <row r="58" spans="1:2" x14ac:dyDescent="0.25">
      <c r="A58" s="72" t="str">
        <f>IF('Plate layout'!K8=FALSE,"","E9")</f>
        <v>E9</v>
      </c>
      <c r="B58" s="72" t="str">
        <f>IF('Plate layout'!K8=FALSE,"",'Plate layout'!K8)</f>
        <v>sample 7.01.nuclear</v>
      </c>
    </row>
    <row r="59" spans="1:2" x14ac:dyDescent="0.25">
      <c r="A59" s="72" t="str">
        <f>IF('Plate layout'!L8=FALSE,"","E10")</f>
        <v>E10</v>
      </c>
      <c r="B59" s="72" t="str">
        <f>IF('Plate layout'!L8=FALSE,"",'Plate layout'!L8)</f>
        <v>Nucl Neg</v>
      </c>
    </row>
    <row r="60" spans="1:2" x14ac:dyDescent="0.25">
      <c r="A60" s="72" t="str">
        <f>IF('Plate layout'!M8=FALSE,"","E11")</f>
        <v/>
      </c>
      <c r="B60" s="72" t="str">
        <f>IF('Plate layout'!M8=FALSE,"",'Plate layout'!M8)</f>
        <v/>
      </c>
    </row>
    <row r="61" spans="1:2" x14ac:dyDescent="0.25">
      <c r="A61" s="72" t="str">
        <f>IF('Plate layout'!N8=FALSE,"","E12")</f>
        <v/>
      </c>
      <c r="B61" s="72" t="str">
        <f>IF('Plate layout'!N8=FALSE,"",'Plate layout'!N8)</f>
        <v/>
      </c>
    </row>
    <row r="62" spans="1:2" x14ac:dyDescent="0.25">
      <c r="A62" s="70" t="str">
        <f>IF('Plate layout'!C9=FALSE,"","F1")</f>
        <v>F1</v>
      </c>
      <c r="B62" s="70" t="str">
        <f>IF('Plate layout'!C9=FALSE,"",'Plate layout'!C9)</f>
        <v>sample 5.library.chlor</v>
      </c>
    </row>
    <row r="63" spans="1:2" x14ac:dyDescent="0.25">
      <c r="A63" s="70" t="str">
        <f>IF('Plate layout'!D9=FALSE,"","F2")</f>
        <v>F2</v>
      </c>
      <c r="B63" s="70" t="str">
        <f>IF('Plate layout'!D9=FALSE,"",'Plate layout'!D9)</f>
        <v>sample 5.1.chlor</v>
      </c>
    </row>
    <row r="64" spans="1:2" x14ac:dyDescent="0.25">
      <c r="A64" s="70" t="str">
        <f>IF('Plate layout'!E9=FALSE,"","F3")</f>
        <v>F3</v>
      </c>
      <c r="B64" s="70" t="str">
        <f>IF('Plate layout'!E9=FALSE,"",'Plate layout'!E9)</f>
        <v>sample 5.01.chlor</v>
      </c>
    </row>
    <row r="65" spans="1:2" x14ac:dyDescent="0.25">
      <c r="A65" s="70" t="str">
        <f>IF('Plate layout'!F9=FALSE,"","F4")</f>
        <v>F4</v>
      </c>
      <c r="B65" s="70" t="str">
        <f>IF('Plate layout'!F9=FALSE,"",'Plate layout'!F9)</f>
        <v>sample 6.library.chlor</v>
      </c>
    </row>
    <row r="66" spans="1:2" x14ac:dyDescent="0.25">
      <c r="A66" s="70" t="str">
        <f>IF('Plate layout'!G9=FALSE,"","F5")</f>
        <v>F5</v>
      </c>
      <c r="B66" s="70" t="str">
        <f>IF('Plate layout'!G9=FALSE,"",'Plate layout'!G9)</f>
        <v>sample 6.1.chlor</v>
      </c>
    </row>
    <row r="67" spans="1:2" x14ac:dyDescent="0.25">
      <c r="A67" s="70" t="str">
        <f>IF('Plate layout'!H9=FALSE,"","F6")</f>
        <v>F6</v>
      </c>
      <c r="B67" s="70" t="str">
        <f>IF('Plate layout'!H9=FALSE,"",'Plate layout'!H9)</f>
        <v>sample 6.01.chlor</v>
      </c>
    </row>
    <row r="68" spans="1:2" x14ac:dyDescent="0.25">
      <c r="A68" s="70" t="str">
        <f>IF('Plate layout'!I9=FALSE,"","F7")</f>
        <v>F7</v>
      </c>
      <c r="B68" s="70" t="str">
        <f>IF('Plate layout'!I9=FALSE,"",'Plate layout'!I9)</f>
        <v>sample 7.library.chloro</v>
      </c>
    </row>
    <row r="69" spans="1:2" x14ac:dyDescent="0.25">
      <c r="A69" s="70" t="str">
        <f>IF('Plate layout'!J9=FALSE,"","F8")</f>
        <v>F8</v>
      </c>
      <c r="B69" s="70" t="str">
        <f>IF('Plate layout'!J9=FALSE,"",'Plate layout'!J9)</f>
        <v>sample 7.1.chlor</v>
      </c>
    </row>
    <row r="70" spans="1:2" x14ac:dyDescent="0.25">
      <c r="A70" s="70" t="str">
        <f>IF('Plate layout'!K9=FALSE,"","F9")</f>
        <v>F9</v>
      </c>
      <c r="B70" s="70" t="str">
        <f>IF('Plate layout'!K9=FALSE,"",'Plate layout'!K9)</f>
        <v>sample 7.01.chlor</v>
      </c>
    </row>
    <row r="71" spans="1:2" x14ac:dyDescent="0.25">
      <c r="A71" s="70" t="str">
        <f>IF('Plate layout'!L9=FALSE,"","F10")</f>
        <v>F10</v>
      </c>
      <c r="B71" s="70" t="str">
        <f>IF('Plate layout'!L9=FALSE,"",'Plate layout'!L9)</f>
        <v>Chloro Neg</v>
      </c>
    </row>
    <row r="72" spans="1:2" x14ac:dyDescent="0.25">
      <c r="A72" s="70" t="str">
        <f>IF('Plate layout'!M9=FALSE,"","F11")</f>
        <v/>
      </c>
      <c r="B72" s="70" t="str">
        <f>IF('Plate layout'!M9=FALSE,"",'Plate layout'!M9)</f>
        <v/>
      </c>
    </row>
    <row r="73" spans="1:2" x14ac:dyDescent="0.25">
      <c r="A73" s="70" t="str">
        <f>IF('Plate layout'!N9=FALSE,"","F12")</f>
        <v/>
      </c>
      <c r="B73" s="70" t="str">
        <f>IF('Plate layout'!N9=FALSE,"",'Plate layout'!N9)</f>
        <v/>
      </c>
    </row>
    <row r="74" spans="1:2" x14ac:dyDescent="0.25">
      <c r="A74" s="70" t="str">
        <f>IF('Plate layout'!C10=FALSE,"","G1")</f>
        <v>G1</v>
      </c>
      <c r="B74" s="70" t="str">
        <f>IF('Plate layout'!C10=FALSE,"",'Plate layout'!C10)</f>
        <v>sample 5.library.bact</v>
      </c>
    </row>
    <row r="75" spans="1:2" x14ac:dyDescent="0.25">
      <c r="A75" s="70" t="str">
        <f>IF('Plate layout'!D10=FALSE,"","G2")</f>
        <v>G2</v>
      </c>
      <c r="B75" s="70" t="str">
        <f>IF('Plate layout'!D10=FALSE,"",'Plate layout'!D10)</f>
        <v>sample 5.1.bact</v>
      </c>
    </row>
    <row r="76" spans="1:2" x14ac:dyDescent="0.25">
      <c r="A76" s="70" t="str">
        <f>IF('Plate layout'!E10=FALSE,"","G3")</f>
        <v>G3</v>
      </c>
      <c r="B76" s="70" t="str">
        <f>IF('Plate layout'!E10=FALSE,"",'Plate layout'!E10)</f>
        <v>sample 5.01.bact</v>
      </c>
    </row>
    <row r="77" spans="1:2" x14ac:dyDescent="0.25">
      <c r="A77" s="70" t="str">
        <f>IF('Plate layout'!F10=FALSE,"","G4")</f>
        <v>G4</v>
      </c>
      <c r="B77" s="70" t="str">
        <f>IF('Plate layout'!F10=FALSE,"",'Plate layout'!F10)</f>
        <v>sample 6.library.bact</v>
      </c>
    </row>
    <row r="78" spans="1:2" x14ac:dyDescent="0.25">
      <c r="A78" s="70" t="str">
        <f>IF('Plate layout'!G10=FALSE,"","G5")</f>
        <v>G5</v>
      </c>
      <c r="B78" s="70" t="str">
        <f>IF('Plate layout'!G10=FALSE,"",'Plate layout'!G10)</f>
        <v>sample 6.1.bact</v>
      </c>
    </row>
    <row r="79" spans="1:2" x14ac:dyDescent="0.25">
      <c r="A79" s="70" t="str">
        <f>IF('Plate layout'!H10=FALSE,"","G6")</f>
        <v>G6</v>
      </c>
      <c r="B79" s="70" t="str">
        <f>IF('Plate layout'!H10=FALSE,"",'Plate layout'!H10)</f>
        <v>sample 6.01.bact</v>
      </c>
    </row>
    <row r="80" spans="1:2" x14ac:dyDescent="0.25">
      <c r="A80" s="70" t="str">
        <f>IF('Plate layout'!I10=FALSE,"","G7")</f>
        <v>G7</v>
      </c>
      <c r="B80" s="70" t="str">
        <f>IF('Plate layout'!I10=FALSE,"",'Plate layout'!I10)</f>
        <v>sample 7.library.bact</v>
      </c>
    </row>
    <row r="81" spans="1:2" x14ac:dyDescent="0.25">
      <c r="A81" s="70" t="str">
        <f>IF('Plate layout'!J10=FALSE,"","G8")</f>
        <v>G8</v>
      </c>
      <c r="B81" s="70" t="str">
        <f>IF('Plate layout'!J10=FALSE,"",'Plate layout'!J10)</f>
        <v>sample 7.1.bact</v>
      </c>
    </row>
    <row r="82" spans="1:2" x14ac:dyDescent="0.25">
      <c r="A82" s="70" t="str">
        <f>IF('Plate layout'!K10=FALSE,"","G9")</f>
        <v>G9</v>
      </c>
      <c r="B82" s="70" t="str">
        <f>IF('Plate layout'!K10=FALSE,"",'Plate layout'!K10)</f>
        <v>sample 7.01.bact</v>
      </c>
    </row>
    <row r="83" spans="1:2" x14ac:dyDescent="0.25">
      <c r="A83" s="70" t="str">
        <f>IF('Plate layout'!L10=FALSE,"","G10")</f>
        <v>G10</v>
      </c>
      <c r="B83" s="70" t="str">
        <f>IF('Plate layout'!L10=FALSE,"",'Plate layout'!L10)</f>
        <v>Bact Neg</v>
      </c>
    </row>
    <row r="84" spans="1:2" x14ac:dyDescent="0.25">
      <c r="A84" s="70" t="str">
        <f>IF('Plate layout'!M10=FALSE,"","G11")</f>
        <v/>
      </c>
      <c r="B84" s="70" t="str">
        <f>IF('Plate layout'!M10=FALSE,"",'Plate layout'!M10)</f>
        <v/>
      </c>
    </row>
    <row r="85" spans="1:2" x14ac:dyDescent="0.25">
      <c r="A85" s="70" t="str">
        <f>IF('Plate layout'!N10=FALSE,"","G12")</f>
        <v/>
      </c>
      <c r="B85" s="70" t="str">
        <f>IF('Plate layout'!N10=FALSE,"",'Plate layout'!N10)</f>
        <v/>
      </c>
    </row>
    <row r="86" spans="1:2" x14ac:dyDescent="0.25">
      <c r="A86" s="70" t="str">
        <f>IF('Plate layout'!C11=FALSE,"","H1")</f>
        <v>H1</v>
      </c>
      <c r="B86" s="70" t="str">
        <f>IF('Plate layout'!C11=FALSE,"",'Plate layout'!C11)</f>
        <v>sample 5.library.fung</v>
      </c>
    </row>
    <row r="87" spans="1:2" x14ac:dyDescent="0.25">
      <c r="A87" s="70" t="str">
        <f>IF('Plate layout'!D11=FALSE,"","H2")</f>
        <v>H2</v>
      </c>
      <c r="B87" s="70" t="str">
        <f>IF('Plate layout'!D11=FALSE,"",'Plate layout'!D11)</f>
        <v>sample 5.1.fung</v>
      </c>
    </row>
    <row r="88" spans="1:2" x14ac:dyDescent="0.25">
      <c r="A88" s="70" t="str">
        <f>IF('Plate layout'!E11=FALSE,"","H3")</f>
        <v>H3</v>
      </c>
      <c r="B88" s="70" t="str">
        <f>IF('Plate layout'!E11=FALSE,"",'Plate layout'!E11)</f>
        <v>sample 5.01.fung</v>
      </c>
    </row>
    <row r="89" spans="1:2" x14ac:dyDescent="0.25">
      <c r="A89" s="70" t="str">
        <f>IF('Plate layout'!F11=FALSE,"","H4")</f>
        <v>H4</v>
      </c>
      <c r="B89" s="70" t="str">
        <f>IF('Plate layout'!F11=FALSE,"",'Plate layout'!F11)</f>
        <v>sample 6.library.fung</v>
      </c>
    </row>
    <row r="90" spans="1:2" x14ac:dyDescent="0.25">
      <c r="A90" s="70" t="str">
        <f>IF('Plate layout'!G11=FALSE,"","H5")</f>
        <v>H5</v>
      </c>
      <c r="B90" s="70" t="str">
        <f>IF('Plate layout'!G11=FALSE,"",'Plate layout'!G11)</f>
        <v>sample 6.1.fung</v>
      </c>
    </row>
    <row r="91" spans="1:2" x14ac:dyDescent="0.25">
      <c r="A91" s="70" t="str">
        <f>IF('Plate layout'!H11=FALSE,"","H6")</f>
        <v>H6</v>
      </c>
      <c r="B91" s="70" t="str">
        <f>IF('Plate layout'!H11=FALSE,"",'Plate layout'!H11)</f>
        <v>sample 6.01.fung</v>
      </c>
    </row>
    <row r="92" spans="1:2" x14ac:dyDescent="0.25">
      <c r="A92" s="70" t="str">
        <f>IF('Plate layout'!I11=FALSE,"","H7")</f>
        <v>H7</v>
      </c>
      <c r="B92" s="70" t="str">
        <f>IF('Plate layout'!I11=FALSE,"",'Plate layout'!I11)</f>
        <v>sample 7.library.fung</v>
      </c>
    </row>
    <row r="93" spans="1:2" x14ac:dyDescent="0.25">
      <c r="A93" s="70" t="str">
        <f>IF('Plate layout'!J11=FALSE,"","H8")</f>
        <v>H8</v>
      </c>
      <c r="B93" s="70" t="str">
        <f>IF('Plate layout'!J11=FALSE,"",'Plate layout'!J11)</f>
        <v>sample 7.1.fung</v>
      </c>
    </row>
    <row r="94" spans="1:2" x14ac:dyDescent="0.25">
      <c r="A94" s="70" t="str">
        <f>IF('Plate layout'!K11=FALSE,"","H9")</f>
        <v>H9</v>
      </c>
      <c r="B94" s="70" t="str">
        <f>IF('Plate layout'!K11=FALSE,"",'Plate layout'!K11)</f>
        <v>sample 7.01.fung</v>
      </c>
    </row>
    <row r="95" spans="1:2" x14ac:dyDescent="0.25">
      <c r="A95" s="70" t="str">
        <f>IF('Plate layout'!L11=FALSE,"","H10")</f>
        <v>H10</v>
      </c>
      <c r="B95" s="70" t="str">
        <f>IF('Plate layout'!L11=FALSE,"",'Plate layout'!L11)</f>
        <v>Fungi Neg</v>
      </c>
    </row>
    <row r="96" spans="1:2" x14ac:dyDescent="0.25">
      <c r="A96" s="70" t="str">
        <f>IF('Plate layout'!M11=FALSE,"","H11")</f>
        <v/>
      </c>
      <c r="B96" s="70" t="str">
        <f>IF('Plate layout'!M11=FALSE,"",'Plate layout'!M11)</f>
        <v/>
      </c>
    </row>
    <row r="97" spans="1:2" x14ac:dyDescent="0.25">
      <c r="A97" s="70" t="str">
        <f>IF('Plate layout'!N11=FALSE,"","H12")</f>
        <v/>
      </c>
      <c r="B97" s="70" t="str">
        <f>IF('Plate layout'!N11=FALSE,"",'Plate layout'!N11)</f>
        <v/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/>
  </sheetViews>
  <sheetFormatPr defaultRowHeight="15" x14ac:dyDescent="0.25"/>
  <cols>
    <col min="1" max="1" width="21.140625" customWidth="1"/>
    <col min="4" max="4" width="24.140625" customWidth="1"/>
    <col min="5" max="5" width="11" style="68" customWidth="1"/>
    <col min="6" max="6" width="13.7109375" bestFit="1" customWidth="1"/>
    <col min="7" max="7" width="14.7109375" customWidth="1"/>
  </cols>
  <sheetData>
    <row r="1" spans="1:10" x14ac:dyDescent="0.25">
      <c r="A1" s="2" t="s">
        <v>78</v>
      </c>
      <c r="B1" s="2"/>
      <c r="C1" s="2"/>
      <c r="D1" s="2"/>
      <c r="E1" s="2"/>
      <c r="F1" s="2"/>
      <c r="G1" s="2"/>
      <c r="H1" s="1"/>
    </row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13" t="s">
        <v>223</v>
      </c>
      <c r="F2" s="2" t="s">
        <v>4</v>
      </c>
      <c r="G2" s="2" t="s">
        <v>5</v>
      </c>
      <c r="H2" s="1" t="s">
        <v>6</v>
      </c>
    </row>
    <row r="3" spans="1:10" x14ac:dyDescent="0.25">
      <c r="A3" s="2" t="b">
        <v>1</v>
      </c>
      <c r="B3" s="2"/>
      <c r="C3" s="6" t="s">
        <v>7</v>
      </c>
      <c r="E3" s="69"/>
      <c r="J3" s="73" t="s">
        <v>190</v>
      </c>
    </row>
    <row r="4" spans="1:10" x14ac:dyDescent="0.25">
      <c r="A4" s="2" t="b">
        <v>1</v>
      </c>
      <c r="B4" s="2"/>
      <c r="C4" s="6" t="s">
        <v>8</v>
      </c>
      <c r="E4" s="69"/>
      <c r="J4" s="73" t="s">
        <v>224</v>
      </c>
    </row>
    <row r="5" spans="1:10" x14ac:dyDescent="0.25">
      <c r="A5" s="2" t="b">
        <v>1</v>
      </c>
      <c r="B5" s="2"/>
      <c r="C5" s="6" t="s">
        <v>9</v>
      </c>
      <c r="E5" s="69"/>
      <c r="J5" s="73" t="s">
        <v>189</v>
      </c>
    </row>
    <row r="6" spans="1:10" x14ac:dyDescent="0.25">
      <c r="A6" s="2" t="b">
        <v>1</v>
      </c>
      <c r="B6" s="2"/>
      <c r="C6" s="6" t="s">
        <v>10</v>
      </c>
      <c r="E6" s="69"/>
      <c r="J6" s="73" t="s">
        <v>230</v>
      </c>
    </row>
    <row r="7" spans="1:10" x14ac:dyDescent="0.25">
      <c r="A7" s="2" t="b">
        <v>1</v>
      </c>
      <c r="B7" s="2"/>
      <c r="C7" s="6" t="s">
        <v>11</v>
      </c>
      <c r="E7" s="69"/>
    </row>
    <row r="8" spans="1:10" x14ac:dyDescent="0.25">
      <c r="A8" s="2" t="b">
        <v>1</v>
      </c>
      <c r="B8" s="2"/>
      <c r="C8" s="6" t="s">
        <v>12</v>
      </c>
      <c r="E8" s="69"/>
    </row>
    <row r="9" spans="1:10" x14ac:dyDescent="0.25">
      <c r="A9" s="2" t="b">
        <v>1</v>
      </c>
      <c r="B9" s="2"/>
      <c r="C9" s="6" t="s">
        <v>37</v>
      </c>
      <c r="E9" s="69"/>
    </row>
    <row r="10" spans="1:10" x14ac:dyDescent="0.25">
      <c r="A10" s="2" t="b">
        <v>1</v>
      </c>
      <c r="B10" s="2"/>
      <c r="C10" s="6" t="s">
        <v>38</v>
      </c>
      <c r="E10" s="69"/>
    </row>
    <row r="11" spans="1:10" x14ac:dyDescent="0.25">
      <c r="A11" s="2" t="b">
        <v>1</v>
      </c>
      <c r="B11" s="2"/>
      <c r="C11" s="6" t="s">
        <v>39</v>
      </c>
      <c r="E11" s="69"/>
    </row>
    <row r="12" spans="1:10" x14ac:dyDescent="0.25">
      <c r="A12" s="2" t="b">
        <v>1</v>
      </c>
      <c r="B12" s="2"/>
      <c r="C12" s="6" t="s">
        <v>40</v>
      </c>
      <c r="E12" s="69"/>
    </row>
    <row r="13" spans="1:10" x14ac:dyDescent="0.25">
      <c r="A13" s="2" t="b">
        <v>1</v>
      </c>
      <c r="B13" s="2"/>
      <c r="C13" s="6" t="s">
        <v>41</v>
      </c>
      <c r="E13" s="69"/>
    </row>
    <row r="14" spans="1:10" x14ac:dyDescent="0.25">
      <c r="A14" s="2" t="b">
        <v>1</v>
      </c>
      <c r="B14" s="2"/>
      <c r="C14" s="6" t="s">
        <v>42</v>
      </c>
      <c r="E14" s="69"/>
    </row>
    <row r="15" spans="1:10" x14ac:dyDescent="0.25">
      <c r="A15" s="2" t="b">
        <v>1</v>
      </c>
      <c r="B15" s="2"/>
      <c r="C15" s="8" t="s">
        <v>13</v>
      </c>
      <c r="E15" s="69"/>
    </row>
    <row r="16" spans="1:10" x14ac:dyDescent="0.25">
      <c r="A16" s="2" t="b">
        <v>1</v>
      </c>
      <c r="B16" s="2"/>
      <c r="C16" s="8" t="s">
        <v>14</v>
      </c>
      <c r="E16" s="69"/>
    </row>
    <row r="17" spans="1:5" x14ac:dyDescent="0.25">
      <c r="A17" s="2" t="b">
        <v>1</v>
      </c>
      <c r="B17" s="2"/>
      <c r="C17" s="8" t="s">
        <v>15</v>
      </c>
      <c r="E17" s="69"/>
    </row>
    <row r="18" spans="1:5" x14ac:dyDescent="0.25">
      <c r="A18" s="2" t="b">
        <v>1</v>
      </c>
      <c r="B18" s="2"/>
      <c r="C18" s="8" t="s">
        <v>16</v>
      </c>
      <c r="E18" s="69"/>
    </row>
    <row r="19" spans="1:5" x14ac:dyDescent="0.25">
      <c r="A19" s="2" t="b">
        <v>1</v>
      </c>
      <c r="B19" s="2"/>
      <c r="C19" s="9" t="s">
        <v>17</v>
      </c>
      <c r="E19" s="69"/>
    </row>
    <row r="20" spans="1:5" x14ac:dyDescent="0.25">
      <c r="A20" s="2" t="b">
        <v>1</v>
      </c>
      <c r="B20" s="2"/>
      <c r="C20" s="9" t="s">
        <v>18</v>
      </c>
      <c r="E20" s="69"/>
    </row>
    <row r="21" spans="1:5" x14ac:dyDescent="0.25">
      <c r="A21" s="2" t="b">
        <v>1</v>
      </c>
      <c r="B21" s="2"/>
      <c r="C21" s="9" t="s">
        <v>43</v>
      </c>
      <c r="E21" s="69"/>
    </row>
    <row r="22" spans="1:5" x14ac:dyDescent="0.25">
      <c r="A22" s="2" t="b">
        <v>1</v>
      </c>
      <c r="B22" s="2"/>
      <c r="C22" s="9" t="s">
        <v>44</v>
      </c>
      <c r="E22" s="69"/>
    </row>
    <row r="23" spans="1:5" x14ac:dyDescent="0.25">
      <c r="A23" s="2" t="b">
        <v>1</v>
      </c>
      <c r="B23" s="2"/>
      <c r="C23" s="9" t="s">
        <v>45</v>
      </c>
      <c r="E23" s="69"/>
    </row>
    <row r="24" spans="1:5" x14ac:dyDescent="0.25">
      <c r="A24" s="2" t="b">
        <v>1</v>
      </c>
      <c r="B24" s="2"/>
      <c r="C24" s="9" t="s">
        <v>46</v>
      </c>
      <c r="E24" s="69"/>
    </row>
    <row r="25" spans="1:5" x14ac:dyDescent="0.25">
      <c r="A25" s="2" t="b">
        <v>1</v>
      </c>
      <c r="B25" s="2"/>
      <c r="C25" s="9" t="s">
        <v>47</v>
      </c>
      <c r="E25" s="69"/>
    </row>
    <row r="26" spans="1:5" x14ac:dyDescent="0.25">
      <c r="A26" s="2" t="b">
        <v>1</v>
      </c>
      <c r="B26" s="2"/>
      <c r="C26" s="9" t="s">
        <v>48</v>
      </c>
      <c r="E26" s="69"/>
    </row>
    <row r="27" spans="1:5" x14ac:dyDescent="0.25">
      <c r="A27" s="2" t="b">
        <v>1</v>
      </c>
      <c r="B27" s="2"/>
      <c r="C27" s="9" t="s">
        <v>19</v>
      </c>
      <c r="E27" s="69"/>
    </row>
    <row r="28" spans="1:5" x14ac:dyDescent="0.25">
      <c r="A28" s="2" t="b">
        <v>1</v>
      </c>
      <c r="B28" s="2"/>
      <c r="C28" s="9" t="s">
        <v>20</v>
      </c>
      <c r="E28" s="69"/>
    </row>
    <row r="29" spans="1:5" x14ac:dyDescent="0.25">
      <c r="A29" s="2" t="b">
        <v>1</v>
      </c>
      <c r="B29" s="2"/>
      <c r="C29" s="9" t="s">
        <v>21</v>
      </c>
      <c r="E29" s="69"/>
    </row>
    <row r="30" spans="1:5" x14ac:dyDescent="0.25">
      <c r="A30" s="2" t="b">
        <v>1</v>
      </c>
      <c r="B30" s="2"/>
      <c r="C30" s="9" t="s">
        <v>22</v>
      </c>
      <c r="E30" s="69"/>
    </row>
    <row r="31" spans="1:5" x14ac:dyDescent="0.25">
      <c r="A31" s="2" t="b">
        <v>1</v>
      </c>
      <c r="B31" s="2"/>
      <c r="C31" s="9" t="s">
        <v>23</v>
      </c>
      <c r="E31" s="69"/>
    </row>
    <row r="32" spans="1:5" x14ac:dyDescent="0.25">
      <c r="A32" s="2" t="b">
        <v>1</v>
      </c>
      <c r="B32" s="2"/>
      <c r="C32" s="9" t="s">
        <v>24</v>
      </c>
      <c r="E32" s="69"/>
    </row>
    <row r="33" spans="1:5" x14ac:dyDescent="0.25">
      <c r="A33" s="2" t="b">
        <v>1</v>
      </c>
      <c r="B33" s="2"/>
      <c r="C33" s="9" t="s">
        <v>49</v>
      </c>
      <c r="E33" s="69"/>
    </row>
    <row r="34" spans="1:5" x14ac:dyDescent="0.25">
      <c r="A34" s="2" t="b">
        <v>1</v>
      </c>
      <c r="B34" s="2"/>
      <c r="C34" s="9" t="s">
        <v>50</v>
      </c>
      <c r="E34" s="69"/>
    </row>
    <row r="35" spans="1:5" x14ac:dyDescent="0.25">
      <c r="A35" s="2" t="b">
        <v>1</v>
      </c>
      <c r="B35" s="2"/>
      <c r="C35" s="9" t="s">
        <v>51</v>
      </c>
      <c r="E35" s="69"/>
    </row>
    <row r="36" spans="1:5" x14ac:dyDescent="0.25">
      <c r="A36" s="2" t="b">
        <v>1</v>
      </c>
      <c r="B36" s="2"/>
      <c r="C36" s="9" t="s">
        <v>52</v>
      </c>
      <c r="E36" s="69"/>
    </row>
    <row r="37" spans="1:5" x14ac:dyDescent="0.25">
      <c r="A37" s="2" t="b">
        <v>1</v>
      </c>
      <c r="B37" s="2"/>
      <c r="C37" s="9" t="s">
        <v>53</v>
      </c>
      <c r="E37" s="69"/>
    </row>
    <row r="38" spans="1:5" x14ac:dyDescent="0.25">
      <c r="A38" s="2" t="b">
        <v>1</v>
      </c>
      <c r="B38" s="2"/>
      <c r="C38" s="9" t="s">
        <v>54</v>
      </c>
      <c r="E38" s="69"/>
    </row>
    <row r="39" spans="1:5" x14ac:dyDescent="0.25">
      <c r="A39" s="2" t="b">
        <v>1</v>
      </c>
      <c r="B39" s="2"/>
      <c r="C39" s="9" t="s">
        <v>25</v>
      </c>
      <c r="E39" s="69"/>
    </row>
    <row r="40" spans="1:5" x14ac:dyDescent="0.25">
      <c r="A40" s="2" t="b">
        <v>1</v>
      </c>
      <c r="B40" s="2"/>
      <c r="C40" s="9" t="s">
        <v>26</v>
      </c>
      <c r="E40" s="69"/>
    </row>
    <row r="41" spans="1:5" x14ac:dyDescent="0.25">
      <c r="A41" s="2" t="b">
        <v>1</v>
      </c>
      <c r="B41" s="2"/>
      <c r="C41" s="9" t="s">
        <v>27</v>
      </c>
      <c r="E41" s="69"/>
    </row>
    <row r="42" spans="1:5" x14ac:dyDescent="0.25">
      <c r="A42" s="2" t="b">
        <v>1</v>
      </c>
      <c r="B42" s="2"/>
      <c r="C42" s="9" t="s">
        <v>28</v>
      </c>
      <c r="E42" s="69"/>
    </row>
    <row r="43" spans="1:5" x14ac:dyDescent="0.25">
      <c r="A43" s="2" t="b">
        <v>1</v>
      </c>
      <c r="B43" s="2"/>
      <c r="C43" s="9" t="s">
        <v>29</v>
      </c>
      <c r="E43" s="69"/>
    </row>
    <row r="44" spans="1:5" x14ac:dyDescent="0.25">
      <c r="A44" s="2" t="b">
        <v>1</v>
      </c>
      <c r="B44" s="2"/>
      <c r="C44" s="9" t="s">
        <v>30</v>
      </c>
      <c r="E44" s="69"/>
    </row>
    <row r="45" spans="1:5" x14ac:dyDescent="0.25">
      <c r="A45" s="2" t="b">
        <v>1</v>
      </c>
      <c r="B45" s="2"/>
      <c r="C45" s="9" t="s">
        <v>55</v>
      </c>
      <c r="E45" s="69"/>
    </row>
    <row r="46" spans="1:5" x14ac:dyDescent="0.25">
      <c r="A46" s="2" t="b">
        <v>1</v>
      </c>
      <c r="B46" s="2"/>
      <c r="C46" s="9" t="s">
        <v>56</v>
      </c>
      <c r="E46" s="69"/>
    </row>
    <row r="47" spans="1:5" x14ac:dyDescent="0.25">
      <c r="A47" s="2" t="b">
        <v>1</v>
      </c>
      <c r="B47" s="2"/>
      <c r="C47" s="9" t="s">
        <v>57</v>
      </c>
      <c r="E47" s="69"/>
    </row>
    <row r="48" spans="1:5" x14ac:dyDescent="0.25">
      <c r="A48" s="2" t="b">
        <v>1</v>
      </c>
      <c r="B48" s="2"/>
      <c r="C48" s="9" t="s">
        <v>58</v>
      </c>
      <c r="E48" s="69"/>
    </row>
    <row r="49" spans="1:5" x14ac:dyDescent="0.25">
      <c r="A49" s="2" t="b">
        <v>1</v>
      </c>
      <c r="B49" s="2"/>
      <c r="C49" s="9" t="s">
        <v>59</v>
      </c>
      <c r="E49" s="69"/>
    </row>
    <row r="50" spans="1:5" x14ac:dyDescent="0.25">
      <c r="A50" s="2" t="b">
        <v>1</v>
      </c>
      <c r="B50" s="2"/>
      <c r="C50" s="9" t="s">
        <v>60</v>
      </c>
      <c r="E50" s="69"/>
    </row>
    <row r="51" spans="1:5" x14ac:dyDescent="0.25">
      <c r="A51" s="2" t="b">
        <v>1</v>
      </c>
      <c r="B51" s="2"/>
      <c r="C51" s="9" t="s">
        <v>31</v>
      </c>
      <c r="E51" s="69"/>
    </row>
    <row r="52" spans="1:5" x14ac:dyDescent="0.25">
      <c r="A52" s="2" t="b">
        <v>1</v>
      </c>
      <c r="B52" s="2"/>
      <c r="C52" s="9" t="s">
        <v>32</v>
      </c>
      <c r="E52" s="69"/>
    </row>
    <row r="53" spans="1:5" x14ac:dyDescent="0.25">
      <c r="A53" s="2" t="b">
        <v>1</v>
      </c>
      <c r="B53" s="2"/>
      <c r="C53" s="9" t="s">
        <v>33</v>
      </c>
      <c r="E53" s="69"/>
    </row>
    <row r="54" spans="1:5" x14ac:dyDescent="0.25">
      <c r="A54" s="2" t="b">
        <v>1</v>
      </c>
      <c r="B54" s="2"/>
      <c r="C54" s="9" t="s">
        <v>34</v>
      </c>
      <c r="E54" s="69"/>
    </row>
    <row r="55" spans="1:5" x14ac:dyDescent="0.25">
      <c r="A55" s="2" t="b">
        <v>1</v>
      </c>
      <c r="B55" s="2"/>
      <c r="C55" s="9" t="s">
        <v>35</v>
      </c>
      <c r="E55" s="69"/>
    </row>
    <row r="56" spans="1:5" x14ac:dyDescent="0.25">
      <c r="A56" s="2" t="b">
        <v>1</v>
      </c>
      <c r="B56" s="2"/>
      <c r="C56" s="9" t="s">
        <v>36</v>
      </c>
      <c r="E56" s="69"/>
    </row>
    <row r="57" spans="1:5" x14ac:dyDescent="0.25">
      <c r="A57" s="2" t="b">
        <v>1</v>
      </c>
      <c r="B57" s="2"/>
      <c r="C57" s="9" t="s">
        <v>61</v>
      </c>
      <c r="E57" s="69"/>
    </row>
    <row r="58" spans="1:5" x14ac:dyDescent="0.25">
      <c r="A58" s="2" t="b">
        <v>1</v>
      </c>
      <c r="B58" s="2"/>
      <c r="C58" s="9" t="s">
        <v>62</v>
      </c>
      <c r="E58" s="69"/>
    </row>
    <row r="59" spans="1:5" x14ac:dyDescent="0.25">
      <c r="A59" s="2" t="b">
        <v>1</v>
      </c>
      <c r="B59" s="2"/>
      <c r="C59" s="9" t="s">
        <v>63</v>
      </c>
      <c r="E59" s="69"/>
    </row>
    <row r="60" spans="1:5" x14ac:dyDescent="0.25">
      <c r="A60" s="2" t="b">
        <v>1</v>
      </c>
      <c r="B60" s="2"/>
      <c r="C60" s="9" t="s">
        <v>64</v>
      </c>
      <c r="E60" s="69"/>
    </row>
    <row r="61" spans="1:5" x14ac:dyDescent="0.25">
      <c r="A61" s="2" t="b">
        <v>1</v>
      </c>
      <c r="B61" s="2"/>
      <c r="C61" s="9" t="s">
        <v>65</v>
      </c>
      <c r="E61" s="69"/>
    </row>
    <row r="62" spans="1:5" x14ac:dyDescent="0.25">
      <c r="A62" s="2" t="b">
        <v>1</v>
      </c>
      <c r="B62" s="2"/>
      <c r="C62" s="9" t="s">
        <v>66</v>
      </c>
      <c r="E62" s="69"/>
    </row>
    <row r="63" spans="1:5" x14ac:dyDescent="0.25">
      <c r="A63" s="2" t="b">
        <v>1</v>
      </c>
      <c r="B63" s="2"/>
      <c r="C63" s="6" t="s">
        <v>67</v>
      </c>
      <c r="E63" s="69"/>
    </row>
    <row r="64" spans="1:5" x14ac:dyDescent="0.25">
      <c r="A64" s="2" t="b">
        <v>1</v>
      </c>
      <c r="B64" s="2"/>
      <c r="C64" s="6" t="s">
        <v>68</v>
      </c>
      <c r="E64" s="69"/>
    </row>
    <row r="65" spans="1:5" x14ac:dyDescent="0.25">
      <c r="A65" s="2" t="b">
        <v>1</v>
      </c>
      <c r="B65" s="2"/>
      <c r="C65" s="6" t="s">
        <v>69</v>
      </c>
      <c r="E65" s="69"/>
    </row>
    <row r="66" spans="1:5" x14ac:dyDescent="0.25">
      <c r="A66" s="2" t="b">
        <v>1</v>
      </c>
      <c r="B66" s="2"/>
      <c r="C66" s="6" t="s">
        <v>70</v>
      </c>
      <c r="E66" s="69"/>
    </row>
    <row r="67" spans="1:5" x14ac:dyDescent="0.25">
      <c r="A67" s="2" t="b">
        <v>1</v>
      </c>
      <c r="B67" s="2"/>
      <c r="C67" s="6" t="s">
        <v>71</v>
      </c>
      <c r="E67" s="69"/>
    </row>
    <row r="68" spans="1:5" x14ac:dyDescent="0.25">
      <c r="A68" s="6" t="b">
        <v>1</v>
      </c>
      <c r="C68" s="6" t="s">
        <v>147</v>
      </c>
      <c r="E68" s="69"/>
    </row>
    <row r="69" spans="1:5" x14ac:dyDescent="0.25">
      <c r="A69" s="6" t="b">
        <v>1</v>
      </c>
      <c r="C69" s="6" t="s">
        <v>148</v>
      </c>
      <c r="E69" s="69"/>
    </row>
    <row r="70" spans="1:5" x14ac:dyDescent="0.25">
      <c r="A70" s="6" t="b">
        <v>1</v>
      </c>
      <c r="C70" s="6" t="s">
        <v>149</v>
      </c>
      <c r="E70" s="69"/>
    </row>
    <row r="71" spans="1:5" x14ac:dyDescent="0.25">
      <c r="A71" s="6" t="b">
        <v>1</v>
      </c>
      <c r="C71" s="6" t="s">
        <v>150</v>
      </c>
      <c r="E71" s="69"/>
    </row>
    <row r="72" spans="1:5" x14ac:dyDescent="0.25">
      <c r="A72" s="6" t="b">
        <v>1</v>
      </c>
      <c r="C72" s="6" t="s">
        <v>151</v>
      </c>
      <c r="E72" s="69"/>
    </row>
    <row r="73" spans="1:5" x14ac:dyDescent="0.25">
      <c r="A73" s="6" t="b">
        <v>1</v>
      </c>
      <c r="C73" s="6" t="s">
        <v>152</v>
      </c>
      <c r="E73" s="69"/>
    </row>
    <row r="74" spans="1:5" x14ac:dyDescent="0.25">
      <c r="A74" s="6" t="b">
        <v>1</v>
      </c>
      <c r="C74" s="6" t="s">
        <v>153</v>
      </c>
      <c r="E74" s="69"/>
    </row>
    <row r="75" spans="1:5" x14ac:dyDescent="0.25">
      <c r="A75" s="6" t="b">
        <v>1</v>
      </c>
      <c r="C75" s="6" t="s">
        <v>154</v>
      </c>
      <c r="E75" s="69"/>
    </row>
    <row r="76" spans="1:5" x14ac:dyDescent="0.25">
      <c r="A76" s="6" t="b">
        <v>1</v>
      </c>
      <c r="C76" s="6" t="s">
        <v>155</v>
      </c>
      <c r="E76" s="69"/>
    </row>
    <row r="77" spans="1:5" x14ac:dyDescent="0.25">
      <c r="A77" s="6" t="b">
        <v>1</v>
      </c>
      <c r="C77" s="6" t="s">
        <v>156</v>
      </c>
      <c r="E77" s="69"/>
    </row>
    <row r="78" spans="1:5" x14ac:dyDescent="0.25">
      <c r="A78" s="6" t="b">
        <v>1</v>
      </c>
      <c r="C78" s="6" t="s">
        <v>157</v>
      </c>
      <c r="E78" s="69"/>
    </row>
    <row r="79" spans="1:5" x14ac:dyDescent="0.25">
      <c r="A79" s="6" t="b">
        <v>1</v>
      </c>
      <c r="C79" s="6" t="s">
        <v>158</v>
      </c>
      <c r="E79" s="69"/>
    </row>
    <row r="80" spans="1:5" x14ac:dyDescent="0.25">
      <c r="A80" s="6" t="b">
        <v>1</v>
      </c>
      <c r="C80" s="6" t="s">
        <v>159</v>
      </c>
      <c r="E80" s="69"/>
    </row>
    <row r="81" spans="1:5" x14ac:dyDescent="0.25">
      <c r="A81" s="6" t="b">
        <v>1</v>
      </c>
      <c r="C81" s="6" t="s">
        <v>160</v>
      </c>
      <c r="E81" s="69"/>
    </row>
    <row r="82" spans="1:5" x14ac:dyDescent="0.25">
      <c r="A82" s="6" t="b">
        <v>1</v>
      </c>
      <c r="C82" s="6" t="s">
        <v>161</v>
      </c>
      <c r="E82" s="69"/>
    </row>
    <row r="83" spans="1:5" x14ac:dyDescent="0.25">
      <c r="A83" s="6" t="b">
        <v>1</v>
      </c>
      <c r="C83" s="6" t="s">
        <v>162</v>
      </c>
      <c r="E83" s="69"/>
    </row>
    <row r="84" spans="1:5" x14ac:dyDescent="0.25">
      <c r="A84" s="6" t="b">
        <v>1</v>
      </c>
      <c r="C84" s="6" t="s">
        <v>163</v>
      </c>
      <c r="E84" s="69"/>
    </row>
    <row r="85" spans="1:5" x14ac:dyDescent="0.25">
      <c r="A85" s="6" t="b">
        <v>1</v>
      </c>
      <c r="C85" s="6" t="s">
        <v>164</v>
      </c>
      <c r="E85" s="69"/>
    </row>
    <row r="86" spans="1:5" x14ac:dyDescent="0.25">
      <c r="A86" s="6" t="b">
        <v>1</v>
      </c>
      <c r="C86" s="6" t="s">
        <v>165</v>
      </c>
      <c r="E86" s="69"/>
    </row>
    <row r="87" spans="1:5" x14ac:dyDescent="0.25">
      <c r="A87" s="6" t="b">
        <v>1</v>
      </c>
      <c r="C87" s="6" t="s">
        <v>166</v>
      </c>
      <c r="E87" s="69"/>
    </row>
    <row r="88" spans="1:5" x14ac:dyDescent="0.25">
      <c r="A88" s="6" t="b">
        <v>1</v>
      </c>
      <c r="C88" s="6" t="s">
        <v>167</v>
      </c>
      <c r="E88" s="69"/>
    </row>
    <row r="89" spans="1:5" x14ac:dyDescent="0.25">
      <c r="A89" s="6" t="b">
        <v>1</v>
      </c>
      <c r="C89" s="6" t="s">
        <v>168</v>
      </c>
      <c r="E89" s="69"/>
    </row>
    <row r="90" spans="1:5" x14ac:dyDescent="0.25">
      <c r="A90" s="6" t="b">
        <v>1</v>
      </c>
      <c r="C90" s="6" t="s">
        <v>169</v>
      </c>
      <c r="E90" s="69"/>
    </row>
    <row r="91" spans="1:5" x14ac:dyDescent="0.25">
      <c r="A91" s="6" t="b">
        <v>1</v>
      </c>
      <c r="C91" s="6" t="s">
        <v>170</v>
      </c>
      <c r="E91" s="69"/>
    </row>
    <row r="92" spans="1:5" x14ac:dyDescent="0.25">
      <c r="A92" s="6" t="b">
        <v>1</v>
      </c>
      <c r="C92" s="6" t="s">
        <v>171</v>
      </c>
      <c r="E92" s="69"/>
    </row>
    <row r="93" spans="1:5" x14ac:dyDescent="0.25">
      <c r="A93" s="6" t="b">
        <v>1</v>
      </c>
      <c r="C93" s="6" t="s">
        <v>172</v>
      </c>
    </row>
    <row r="94" spans="1:5" x14ac:dyDescent="0.25">
      <c r="A94" s="6" t="b">
        <v>1</v>
      </c>
      <c r="C94" t="s">
        <v>173</v>
      </c>
    </row>
    <row r="95" spans="1:5" x14ac:dyDescent="0.25">
      <c r="A95" s="6" t="b">
        <v>1</v>
      </c>
      <c r="C95" t="s">
        <v>174</v>
      </c>
    </row>
    <row r="96" spans="1:5" x14ac:dyDescent="0.25">
      <c r="A96" s="6" t="b">
        <v>1</v>
      </c>
      <c r="C96" t="s">
        <v>175</v>
      </c>
      <c r="E96" s="69"/>
    </row>
    <row r="97" spans="1:3" x14ac:dyDescent="0.25">
      <c r="A97" s="6" t="b">
        <v>1</v>
      </c>
      <c r="C97" s="6" t="s">
        <v>176</v>
      </c>
    </row>
    <row r="98" spans="1:3" x14ac:dyDescent="0.25">
      <c r="A98" s="6" t="b">
        <v>1</v>
      </c>
      <c r="C98" s="6" t="s">
        <v>177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5" x14ac:dyDescent="0.25"/>
  <cols>
    <col min="1" max="1" width="16.28515625" style="70" customWidth="1"/>
    <col min="2" max="2" width="17.42578125" style="70" customWidth="1"/>
    <col min="3" max="3" width="8.28515625" style="70" customWidth="1"/>
    <col min="4" max="4" width="18.7109375" style="70" customWidth="1"/>
    <col min="5" max="5" width="17.7109375" style="70" customWidth="1"/>
    <col min="6" max="6" width="2.85546875" style="70" customWidth="1"/>
    <col min="7" max="7" width="15.140625" style="70" customWidth="1"/>
    <col min="8" max="8" width="18.28515625" style="70" customWidth="1"/>
    <col min="9" max="9" width="26" style="70" customWidth="1"/>
    <col min="10" max="16384" width="9.140625" style="70"/>
  </cols>
  <sheetData>
    <row r="1" spans="1:9" ht="15.75" thickBot="1" x14ac:dyDescent="0.3">
      <c r="B1" s="70" t="s">
        <v>75</v>
      </c>
      <c r="D1" s="77" t="str">
        <f>'Master mixes'!B2</f>
        <v>sample 1</v>
      </c>
    </row>
    <row r="2" spans="1:9" ht="15.75" thickBot="1" x14ac:dyDescent="0.3">
      <c r="G2" s="78"/>
      <c r="H2" s="79" t="s">
        <v>178</v>
      </c>
      <c r="I2" s="80"/>
    </row>
    <row r="3" spans="1:9" ht="30" x14ac:dyDescent="0.25">
      <c r="A3" s="81" t="s">
        <v>99</v>
      </c>
      <c r="B3" s="82" t="s">
        <v>3</v>
      </c>
      <c r="C3" s="83" t="s">
        <v>223</v>
      </c>
      <c r="D3" s="84" t="s">
        <v>72</v>
      </c>
      <c r="E3" s="85" t="s">
        <v>225</v>
      </c>
      <c r="G3" s="86" t="s">
        <v>226</v>
      </c>
      <c r="H3" s="87" t="str">
        <f>IF(MIN(IF(E4="Safe",C4,99),IF(E9="Safe",C9,99),IF(E14="Safe",C14,99),IF(E19="Safe",C19,99))=99,"no good value",MIN(IF(E4="Safe",C4,99),IF(E9="Safe",C9,99),IF(E14="Safe",C14,99),IF(E19="Safe",C19,99)))</f>
        <v>no good value</v>
      </c>
      <c r="I3" s="88" t="s">
        <v>74</v>
      </c>
    </row>
    <row r="4" spans="1:9" ht="15" customHeight="1" x14ac:dyDescent="0.25">
      <c r="A4" s="143" t="s">
        <v>182</v>
      </c>
      <c r="B4" s="89" t="s">
        <v>178</v>
      </c>
      <c r="C4" s="90">
        <f>'Raw qPCR data'!E3</f>
        <v>0</v>
      </c>
      <c r="D4" s="90"/>
      <c r="E4" s="91" t="str">
        <f>IF(C4&gt;($C$7-0.2),"Do not trust value",IF(C4&gt;($C$7-0.75),"Marginal","Safe"))</f>
        <v>Do not trust value</v>
      </c>
      <c r="G4" s="92"/>
      <c r="H4" s="93" t="s">
        <v>227</v>
      </c>
      <c r="I4" s="94" t="s">
        <v>73</v>
      </c>
    </row>
    <row r="5" spans="1:9" x14ac:dyDescent="0.25">
      <c r="A5" s="143"/>
      <c r="B5" s="89" t="s">
        <v>179</v>
      </c>
      <c r="C5" s="90">
        <f>'Raw qPCR data'!E4</f>
        <v>0</v>
      </c>
      <c r="D5" s="90">
        <f>C5-C4</f>
        <v>0</v>
      </c>
      <c r="E5" s="91" t="str">
        <f>IF(E4="Do not trust value","Do not trust value",IF(E4="Marginal","Do not trust value", IF(C5&gt;($C$7-0.2),"Do not trust value",IF(C5&gt;($C$7-0.75),"Marginal","Safe"))))</f>
        <v>Do not trust value</v>
      </c>
      <c r="G5" s="92" t="s">
        <v>133</v>
      </c>
      <c r="H5" s="93" t="e">
        <f>C4-$H$3</f>
        <v>#VALUE!</v>
      </c>
      <c r="I5" s="95" t="e">
        <f>2^-H5</f>
        <v>#VALUE!</v>
      </c>
    </row>
    <row r="6" spans="1:9" x14ac:dyDescent="0.25">
      <c r="A6" s="143"/>
      <c r="B6" s="89" t="s">
        <v>180</v>
      </c>
      <c r="C6" s="90">
        <f>'Raw qPCR data'!E5</f>
        <v>0</v>
      </c>
      <c r="D6" s="90">
        <f>C6-C5</f>
        <v>0</v>
      </c>
      <c r="E6" s="91" t="str">
        <f>IF(E5="Do not trust value","Do not trust value",IF(E5="Marginal","Do not trust value", IF(C6&gt;($C$7-0.2),"Do not trust value",IF(C6&gt;($C$7-0.75),"Marginal","Safe"))))</f>
        <v>Do not trust value</v>
      </c>
      <c r="G6" s="92" t="s">
        <v>186</v>
      </c>
      <c r="H6" s="93" t="e">
        <f>C9-$H$3</f>
        <v>#VALUE!</v>
      </c>
      <c r="I6" s="95" t="e">
        <f>2^-H6</f>
        <v>#VALUE!</v>
      </c>
    </row>
    <row r="7" spans="1:9" x14ac:dyDescent="0.25">
      <c r="A7" s="143"/>
      <c r="B7" s="96" t="s">
        <v>181</v>
      </c>
      <c r="C7" s="90">
        <f>INDEX('Raw qPCR data'!E:E,1+(MATCH("Nucl Neg",'For software'!B:B,0)),1)</f>
        <v>0</v>
      </c>
      <c r="D7" s="90"/>
      <c r="E7" s="91"/>
      <c r="G7" s="92" t="s">
        <v>106</v>
      </c>
      <c r="H7" s="93" t="e">
        <f>C14-$H$3</f>
        <v>#VALUE!</v>
      </c>
      <c r="I7" s="95" t="e">
        <f>2^-H7</f>
        <v>#VALUE!</v>
      </c>
    </row>
    <row r="8" spans="1:9" ht="15.75" thickBot="1" x14ac:dyDescent="0.3">
      <c r="A8" s="97"/>
      <c r="B8" s="98"/>
      <c r="C8" s="99"/>
      <c r="D8" s="99"/>
      <c r="E8" s="100"/>
      <c r="G8" s="101" t="s">
        <v>135</v>
      </c>
      <c r="H8" s="102" t="e">
        <f>C19-$H$3</f>
        <v>#VALUE!</v>
      </c>
      <c r="I8" s="103" t="e">
        <f>2^-H8</f>
        <v>#VALUE!</v>
      </c>
    </row>
    <row r="9" spans="1:9" ht="15.75" thickBot="1" x14ac:dyDescent="0.3">
      <c r="A9" s="144" t="s">
        <v>183</v>
      </c>
      <c r="B9" s="104" t="s">
        <v>178</v>
      </c>
      <c r="C9" s="105">
        <f>'Raw qPCR data'!E15</f>
        <v>0</v>
      </c>
      <c r="D9" s="105"/>
      <c r="E9" s="106" t="str">
        <f>IF(C9&gt;(C12-0.2),"Do not trust value",IF(C9&gt;(C12-0.75),"Marginal","Safe"))</f>
        <v>Do not trust value</v>
      </c>
    </row>
    <row r="10" spans="1:9" ht="15.75" thickBot="1" x14ac:dyDescent="0.3">
      <c r="A10" s="144"/>
      <c r="B10" s="104" t="s">
        <v>179</v>
      </c>
      <c r="C10" s="105">
        <f>'Raw qPCR data'!E16</f>
        <v>0</v>
      </c>
      <c r="D10" s="105">
        <f>C10-C9</f>
        <v>0</v>
      </c>
      <c r="E10" s="106" t="str">
        <f>IF(E9="Do not trust value","Do not trust value",IF(E9="Marginal","Do not trust value", IF(C10&gt;(C12-0.2),"Do not trust value",IF(C10&gt;(C12-0.75),"Marginal","Safe"))))</f>
        <v>Do not trust value</v>
      </c>
      <c r="G10" s="78"/>
      <c r="H10" s="79" t="s">
        <v>187</v>
      </c>
      <c r="I10" s="80"/>
    </row>
    <row r="11" spans="1:9" x14ac:dyDescent="0.25">
      <c r="A11" s="144"/>
      <c r="B11" s="104" t="s">
        <v>180</v>
      </c>
      <c r="C11" s="105">
        <f>'Raw qPCR data'!E17</f>
        <v>0</v>
      </c>
      <c r="D11" s="105">
        <f>C11-C10</f>
        <v>0</v>
      </c>
      <c r="E11" s="106" t="str">
        <f>IF(E10="Do not trust value","Do not trust value",IF(E10="Marginal","Do not trust value", IF(C11&gt;(C12-0.2),"Do not trust value",IF(C11&gt;(C12-0.75),"Marginal","Safe"))))</f>
        <v>Do not trust value</v>
      </c>
      <c r="G11" s="86" t="s">
        <v>226</v>
      </c>
      <c r="H11" s="107" t="str">
        <f>IF(MIN(IF(E5="Safe",C5,99),IF(E10="Safe",C10,99),IF(E15="Safe",C15,99),IF(E20="Safe",C20,99))=99,"no good value",MIN(IF(E5="Safe",C5,99),IF(E10="Safe",C10,99),IF(E15="Safe",C15,99),IF(E20="Safe",C20,99)))</f>
        <v>no good value</v>
      </c>
      <c r="I11" s="108" t="s">
        <v>74</v>
      </c>
    </row>
    <row r="12" spans="1:9" x14ac:dyDescent="0.25">
      <c r="A12" s="144"/>
      <c r="B12" s="104" t="s">
        <v>181</v>
      </c>
      <c r="C12" s="105">
        <f>INDEX('Raw qPCR data'!E:E,1+(MATCH("Chloro Neg",'For software'!B:B,0)),1)</f>
        <v>0</v>
      </c>
      <c r="D12" s="105"/>
      <c r="E12" s="106"/>
      <c r="G12" s="109"/>
      <c r="H12" s="110" t="s">
        <v>227</v>
      </c>
      <c r="I12" s="94" t="s">
        <v>73</v>
      </c>
    </row>
    <row r="13" spans="1:9" x14ac:dyDescent="0.25">
      <c r="A13" s="97"/>
      <c r="B13" s="98"/>
      <c r="C13" s="99"/>
      <c r="D13" s="99"/>
      <c r="E13" s="100"/>
      <c r="G13" s="92" t="s">
        <v>133</v>
      </c>
      <c r="H13" s="93" t="e">
        <f>C5-$H$11</f>
        <v>#VALUE!</v>
      </c>
      <c r="I13" s="95" t="e">
        <f>2^-H13</f>
        <v>#VALUE!</v>
      </c>
    </row>
    <row r="14" spans="1:9" x14ac:dyDescent="0.25">
      <c r="A14" s="145" t="s">
        <v>184</v>
      </c>
      <c r="B14" s="111" t="s">
        <v>178</v>
      </c>
      <c r="C14" s="112">
        <f>'Raw qPCR data'!E27</f>
        <v>0</v>
      </c>
      <c r="D14" s="112"/>
      <c r="E14" s="113" t="str">
        <f>IF(C14&gt;($C$17-0.2),"Do not trust value",IF(C14&gt;($C$17-0.75),"Marginal","Safe"))</f>
        <v>Do not trust value</v>
      </c>
      <c r="G14" s="92" t="s">
        <v>186</v>
      </c>
      <c r="H14" s="93" t="e">
        <f>C10-$H$11</f>
        <v>#VALUE!</v>
      </c>
      <c r="I14" s="95" t="e">
        <f>2^-H14</f>
        <v>#VALUE!</v>
      </c>
    </row>
    <row r="15" spans="1:9" x14ac:dyDescent="0.25">
      <c r="A15" s="145"/>
      <c r="B15" s="111" t="s">
        <v>179</v>
      </c>
      <c r="C15" s="112">
        <f>'Raw qPCR data'!E28</f>
        <v>0</v>
      </c>
      <c r="D15" s="112">
        <f>C15-C14</f>
        <v>0</v>
      </c>
      <c r="E15" s="113" t="str">
        <f>IF(E14="Do not trust value","Do not trust value",IF(E14="Marginal","Do not trust value", IF(C15&gt;($C$17-0.2),"Do not trust value",IF(C15&gt;($C$17-0.75),"Marginal","Safe"))))</f>
        <v>Do not trust value</v>
      </c>
      <c r="G15" s="92" t="s">
        <v>106</v>
      </c>
      <c r="H15" s="93" t="e">
        <f>C15-$H$11</f>
        <v>#VALUE!</v>
      </c>
      <c r="I15" s="95" t="e">
        <f>2^-H15</f>
        <v>#VALUE!</v>
      </c>
    </row>
    <row r="16" spans="1:9" ht="15.75" thickBot="1" x14ac:dyDescent="0.3">
      <c r="A16" s="145"/>
      <c r="B16" s="111" t="s">
        <v>180</v>
      </c>
      <c r="C16" s="112">
        <f>'Raw qPCR data'!E29</f>
        <v>0</v>
      </c>
      <c r="D16" s="112">
        <f>C16-C15</f>
        <v>0</v>
      </c>
      <c r="E16" s="113" t="str">
        <f>IF(E15="Do not trust value","Do not trust value",IF(E15="Marginal","Do not trust value", IF(C16&gt;($C$17-0.2),"Do not trust value",IF(C16&gt;($C$17-0.75),"Marginal","Safe"))))</f>
        <v>Do not trust value</v>
      </c>
      <c r="G16" s="101" t="s">
        <v>135</v>
      </c>
      <c r="H16" s="93" t="e">
        <f>C20-$H$11</f>
        <v>#VALUE!</v>
      </c>
      <c r="I16" s="95" t="e">
        <f>2^-H16</f>
        <v>#VALUE!</v>
      </c>
    </row>
    <row r="17" spans="1:9" ht="15.75" thickBot="1" x14ac:dyDescent="0.3">
      <c r="A17" s="145"/>
      <c r="B17" s="111" t="s">
        <v>181</v>
      </c>
      <c r="C17" s="112">
        <f>INDEX('Raw qPCR data'!E:E,1+(MATCH("Bact Neg",'For software'!B:B,0)),1)</f>
        <v>0</v>
      </c>
      <c r="D17" s="112"/>
      <c r="E17" s="113"/>
    </row>
    <row r="18" spans="1:9" ht="15.75" thickBot="1" x14ac:dyDescent="0.3">
      <c r="A18" s="97"/>
      <c r="B18" s="98"/>
      <c r="C18" s="98"/>
      <c r="D18" s="98"/>
      <c r="E18" s="114"/>
      <c r="G18" s="78"/>
      <c r="H18" s="79" t="s">
        <v>188</v>
      </c>
      <c r="I18" s="80"/>
    </row>
    <row r="19" spans="1:9" x14ac:dyDescent="0.25">
      <c r="A19" s="146" t="s">
        <v>185</v>
      </c>
      <c r="B19" s="115" t="s">
        <v>178</v>
      </c>
      <c r="C19" s="116">
        <f>'Raw qPCR data'!E39</f>
        <v>0</v>
      </c>
      <c r="D19" s="116"/>
      <c r="E19" s="117" t="str">
        <f>IF(C19&gt;($C$22-0.2),"Do not trust value",IF(C19&gt;($C$22-0.75),"Marginal","Safe"))</f>
        <v>Do not trust value</v>
      </c>
      <c r="G19" s="86" t="s">
        <v>226</v>
      </c>
      <c r="H19" s="107" t="str">
        <f>IF(MIN(IF(E6="Safe",C6,99), IF(E11="Safe",C11,99),IF(E16="Safe",C16,99),IF(E21="Safe",C21,99))=99,"no good value", MIN(IF(E6="Safe",C6,99), IF(E11="Safe",C11,99),IF(E16="Safe",C16,99),IF(E21="Safe",C21,99)))</f>
        <v>no good value</v>
      </c>
      <c r="I19" s="108" t="s">
        <v>74</v>
      </c>
    </row>
    <row r="20" spans="1:9" x14ac:dyDescent="0.25">
      <c r="A20" s="146"/>
      <c r="B20" s="115" t="s">
        <v>179</v>
      </c>
      <c r="C20" s="116">
        <f>'Raw qPCR data'!E40</f>
        <v>0</v>
      </c>
      <c r="D20" s="116">
        <f>C20-C19</f>
        <v>0</v>
      </c>
      <c r="E20" s="117" t="str">
        <f>IF(E19="Do not trust value","Do not trust value",IF(E19="Marginal","Do not trust value", IF(C20&gt;($C$22-0.2),"Do not trust value",IF(C20&gt;($C$22-0.75),"Marginal","Safe"))))</f>
        <v>Do not trust value</v>
      </c>
      <c r="G20" s="109"/>
      <c r="H20" s="110" t="s">
        <v>227</v>
      </c>
      <c r="I20" s="118" t="s">
        <v>73</v>
      </c>
    </row>
    <row r="21" spans="1:9" x14ac:dyDescent="0.25">
      <c r="A21" s="146"/>
      <c r="B21" s="115" t="s">
        <v>180</v>
      </c>
      <c r="C21" s="116">
        <f>'Raw qPCR data'!E41</f>
        <v>0</v>
      </c>
      <c r="D21" s="116">
        <f>C21-C20</f>
        <v>0</v>
      </c>
      <c r="E21" s="117" t="str">
        <f>IF(E20="Do not trust value","Do not trust value",IF(E20="Marginal","Do not trust value", IF(C21&gt;($C$22-0.2),"Do not trust value",IF(C21&gt;($C$22-0.75),"Marginal","Safe"))))</f>
        <v>Do not trust value</v>
      </c>
      <c r="G21" s="92" t="s">
        <v>133</v>
      </c>
      <c r="H21" s="93" t="e">
        <f>C6-$H$19</f>
        <v>#VALUE!</v>
      </c>
      <c r="I21" s="95" t="e">
        <f>2^-H21</f>
        <v>#VALUE!</v>
      </c>
    </row>
    <row r="22" spans="1:9" ht="15.75" thickBot="1" x14ac:dyDescent="0.3">
      <c r="A22" s="147"/>
      <c r="B22" s="119" t="s">
        <v>181</v>
      </c>
      <c r="C22" s="120">
        <f>INDEX('Raw qPCR data'!E:E,1+(MATCH("Fungi Neg",'For software'!B:B,0)),1)</f>
        <v>0</v>
      </c>
      <c r="D22" s="120"/>
      <c r="E22" s="121"/>
      <c r="G22" s="92" t="s">
        <v>186</v>
      </c>
      <c r="H22" s="93" t="e">
        <f>C11-$H$19</f>
        <v>#VALUE!</v>
      </c>
      <c r="I22" s="95" t="e">
        <f>2^-H22</f>
        <v>#VALUE!</v>
      </c>
    </row>
    <row r="23" spans="1:9" x14ac:dyDescent="0.25">
      <c r="G23" s="92" t="s">
        <v>106</v>
      </c>
      <c r="H23" s="93" t="e">
        <f>C16-$H$19</f>
        <v>#VALUE!</v>
      </c>
      <c r="I23" s="95" t="e">
        <f>2^-H23</f>
        <v>#VALUE!</v>
      </c>
    </row>
    <row r="24" spans="1:9" ht="15.75" thickBot="1" x14ac:dyDescent="0.3">
      <c r="G24" s="101" t="s">
        <v>135</v>
      </c>
      <c r="H24" s="102" t="e">
        <f>C21-$H$19</f>
        <v>#VALUE!</v>
      </c>
      <c r="I24" s="103" t="e">
        <f>2^-H24</f>
        <v>#VALUE!</v>
      </c>
    </row>
    <row r="25" spans="1:9" x14ac:dyDescent="0.25">
      <c r="F25" s="122"/>
      <c r="G25" s="110"/>
      <c r="H25" s="93"/>
      <c r="I25" s="123"/>
    </row>
    <row r="26" spans="1:9" x14ac:dyDescent="0.25">
      <c r="G26" s="98"/>
      <c r="H26" s="98"/>
      <c r="I26" s="98"/>
    </row>
    <row r="27" spans="1:9" x14ac:dyDescent="0.25">
      <c r="G27" s="98"/>
      <c r="H27" s="98"/>
      <c r="I27" s="98"/>
    </row>
  </sheetData>
  <sheetProtection sheet="1" objects="1" scenarios="1"/>
  <mergeCells count="4">
    <mergeCell ref="A4:A7"/>
    <mergeCell ref="A9:A12"/>
    <mergeCell ref="A14:A17"/>
    <mergeCell ref="A19:A22"/>
  </mergeCells>
  <conditionalFormatting sqref="H13:I13">
    <cfRule type="expression" dxfId="181" priority="47">
      <formula>FIND("Marginal",$E$5,1)</formula>
    </cfRule>
    <cfRule type="expression" dxfId="180" priority="51">
      <formula>FIND("Do not trust value",$E$5,1)</formula>
    </cfRule>
  </conditionalFormatting>
  <conditionalFormatting sqref="H5:I5">
    <cfRule type="expression" dxfId="179" priority="57">
      <formula>FIND("Marginal",$E$4,1)</formula>
    </cfRule>
    <cfRule type="expression" dxfId="178" priority="66">
      <formula>FIND("Do not trust value",$E$4,1)</formula>
    </cfRule>
  </conditionalFormatting>
  <conditionalFormatting sqref="H21:I21">
    <cfRule type="expression" dxfId="177" priority="25">
      <formula>FIND("Marginal",$E$6,1)</formula>
    </cfRule>
    <cfRule type="expression" dxfId="176" priority="26">
      <formula>FIND("Do not trust value",$E$6,1)</formula>
    </cfRule>
  </conditionalFormatting>
  <conditionalFormatting sqref="H22:I22">
    <cfRule type="expression" dxfId="175" priority="23">
      <formula>FIND("Marginal",$E$11,1)</formula>
    </cfRule>
    <cfRule type="expression" dxfId="174" priority="24">
      <formula>FIND("Do not trust value",$E$11,1)</formula>
    </cfRule>
  </conditionalFormatting>
  <conditionalFormatting sqref="H15:I15">
    <cfRule type="expression" dxfId="173" priority="119">
      <formula>FIND("Marginal",$E$15,1)</formula>
    </cfRule>
    <cfRule type="expression" dxfId="172" priority="120">
      <formula>FIND("Do not trust value",$E$15,1)</formula>
    </cfRule>
  </conditionalFormatting>
  <conditionalFormatting sqref="H23:I23">
    <cfRule type="expression" dxfId="171" priority="121">
      <formula>FIND("Marginal",$E$16,1)</formula>
    </cfRule>
    <cfRule type="expression" dxfId="170" priority="122">
      <formula>FIND("Do not trust value",$E$16,1)</formula>
    </cfRule>
  </conditionalFormatting>
  <conditionalFormatting sqref="H7:I7">
    <cfRule type="expression" dxfId="169" priority="123">
      <formula>FIND("Marginal",$E$14,1)</formula>
    </cfRule>
    <cfRule type="expression" dxfId="168" priority="124">
      <formula>FIND("Do not trust value",$E$14,1)</formula>
    </cfRule>
  </conditionalFormatting>
  <conditionalFormatting sqref="H24:I24">
    <cfRule type="expression" dxfId="167" priority="125">
      <formula>FIND("Marginal",$E$21,1)</formula>
    </cfRule>
    <cfRule type="expression" dxfId="166" priority="126">
      <formula>FIND("Do not trust value",$E$21,1)</formula>
    </cfRule>
  </conditionalFormatting>
  <conditionalFormatting sqref="H8:I8">
    <cfRule type="expression" dxfId="165" priority="127">
      <formula>FIND("Marginal",$E$19,1)</formula>
    </cfRule>
    <cfRule type="expression" dxfId="164" priority="128">
      <formula>FIND("Do not trust value",$E$19,1)</formula>
    </cfRule>
  </conditionalFormatting>
  <conditionalFormatting sqref="H16:I16">
    <cfRule type="expression" dxfId="163" priority="129">
      <formula>FIND("Marginal",$E$20,1)</formula>
    </cfRule>
    <cfRule type="expression" dxfId="162" priority="130">
      <formula>FIND("Do not trust value",$E$20,1)</formula>
    </cfRule>
  </conditionalFormatting>
  <conditionalFormatting sqref="H25:I25">
    <cfRule type="expression" dxfId="161" priority="133">
      <formula>FIND("Marginal",#REF!,1)</formula>
    </cfRule>
    <cfRule type="expression" dxfId="160" priority="134">
      <formula>FIND("Do not trust value",#REF!,1)</formula>
    </cfRule>
  </conditionalFormatting>
  <conditionalFormatting sqref="H14:I14">
    <cfRule type="expression" dxfId="159" priority="3">
      <formula>FIND("Marginal",$E$10,1)</formula>
    </cfRule>
    <cfRule type="expression" dxfId="158" priority="4">
      <formula>FIND("Do not trust value",$E$10,1)</formula>
    </cfRule>
  </conditionalFormatting>
  <conditionalFormatting sqref="H6:I6">
    <cfRule type="expression" dxfId="157" priority="1">
      <formula>FIND("Marginal",$E$9,1)</formula>
    </cfRule>
    <cfRule type="expression" dxfId="156" priority="2">
      <formula>FIND("Do not trust value",$E$9,1)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5" x14ac:dyDescent="0.25"/>
  <cols>
    <col min="1" max="1" width="16.28515625" style="70" customWidth="1"/>
    <col min="2" max="2" width="17.42578125" style="70" customWidth="1"/>
    <col min="3" max="3" width="8.28515625" style="70" customWidth="1"/>
    <col min="4" max="4" width="18.7109375" style="70" customWidth="1"/>
    <col min="5" max="5" width="17.7109375" style="70" customWidth="1"/>
    <col min="6" max="6" width="2.85546875" style="70" customWidth="1"/>
    <col min="7" max="7" width="15.140625" style="70" customWidth="1"/>
    <col min="8" max="8" width="18.28515625" style="70" customWidth="1"/>
    <col min="9" max="9" width="26" style="70" customWidth="1"/>
    <col min="10" max="16384" width="9.140625" style="70"/>
  </cols>
  <sheetData>
    <row r="1" spans="1:9" ht="15.75" thickBot="1" x14ac:dyDescent="0.3">
      <c r="B1" s="70" t="s">
        <v>76</v>
      </c>
      <c r="D1" s="77" t="str">
        <f>IF('Master mixes'!B3=0,"NONE",'Master mixes'!B3)</f>
        <v>sample 2</v>
      </c>
    </row>
    <row r="2" spans="1:9" ht="15.75" thickBot="1" x14ac:dyDescent="0.3">
      <c r="G2" s="78"/>
      <c r="H2" s="79" t="s">
        <v>178</v>
      </c>
      <c r="I2" s="80"/>
    </row>
    <row r="3" spans="1:9" ht="30" x14ac:dyDescent="0.25">
      <c r="A3" s="81" t="s">
        <v>99</v>
      </c>
      <c r="B3" s="82" t="s">
        <v>3</v>
      </c>
      <c r="C3" s="83" t="s">
        <v>223</v>
      </c>
      <c r="D3" s="84" t="s">
        <v>72</v>
      </c>
      <c r="E3" s="85" t="s">
        <v>225</v>
      </c>
      <c r="G3" s="86" t="s">
        <v>226</v>
      </c>
      <c r="H3" s="87" t="str">
        <f>IF(MIN(IF(E4="Safe",C4,99),IF(E9="Safe",C9,99),IF(E14="Safe",C14,99),IF(E19="Safe",C19,99))=99,"no good value",MIN(IF(E4="Safe",C4,99),IF(E9="Safe",C9,99),IF(E14="Safe",C14,99),IF(E19="Safe",C19,99)))</f>
        <v>no good value</v>
      </c>
      <c r="I3" s="88" t="s">
        <v>74</v>
      </c>
    </row>
    <row r="4" spans="1:9" ht="15" customHeight="1" x14ac:dyDescent="0.25">
      <c r="A4" s="143" t="s">
        <v>182</v>
      </c>
      <c r="B4" s="89" t="s">
        <v>178</v>
      </c>
      <c r="C4" s="90">
        <f>IF('Master mixes'!$B$9&lt;2,"N/A",'Raw qPCR data'!E6)</f>
        <v>0</v>
      </c>
      <c r="D4" s="90"/>
      <c r="E4" s="91" t="str">
        <f>IF(C4&gt;($C$7-0.2),"Do not trust value",IF(C4&gt;($C$7-0.75),"Marginal","Safe"))</f>
        <v>Do not trust value</v>
      </c>
      <c r="G4" s="92"/>
      <c r="H4" s="93" t="s">
        <v>227</v>
      </c>
      <c r="I4" s="94" t="s">
        <v>73</v>
      </c>
    </row>
    <row r="5" spans="1:9" x14ac:dyDescent="0.25">
      <c r="A5" s="143"/>
      <c r="B5" s="89" t="s">
        <v>179</v>
      </c>
      <c r="C5" s="90">
        <f>IF('Master mixes'!$B$9&lt;2,"N/A",'Raw qPCR data'!E7)</f>
        <v>0</v>
      </c>
      <c r="D5" s="90">
        <f>C5-C4</f>
        <v>0</v>
      </c>
      <c r="E5" s="91" t="str">
        <f>IF(E4="Do not trust value","Do not trust value",IF(E4="Marginal","Do not trust value", IF(C5&gt;($C$7-0.2),"Do not trust value",IF(C5&gt;($C$7-0.75),"Marginal","Safe"))))</f>
        <v>Do not trust value</v>
      </c>
      <c r="G5" s="92" t="s">
        <v>133</v>
      </c>
      <c r="H5" s="93" t="e">
        <f>C4-$H$3</f>
        <v>#VALUE!</v>
      </c>
      <c r="I5" s="95" t="e">
        <f>2^-H5</f>
        <v>#VALUE!</v>
      </c>
    </row>
    <row r="6" spans="1:9" x14ac:dyDescent="0.25">
      <c r="A6" s="143"/>
      <c r="B6" s="89" t="s">
        <v>180</v>
      </c>
      <c r="C6" s="90">
        <f>IF('Master mixes'!$B$9&lt;2,"N/A",'Raw qPCR data'!E8)</f>
        <v>0</v>
      </c>
      <c r="D6" s="90">
        <f>C6-C5</f>
        <v>0</v>
      </c>
      <c r="E6" s="91" t="str">
        <f>IF(E5="Do not trust value","Do not trust value",IF(E5="Marginal","Do not trust value", IF(C6&gt;($C$7-0.2),"Do not trust value",IF(C6&gt;($C$7-0.75),"Marginal","Safe"))))</f>
        <v>Do not trust value</v>
      </c>
      <c r="G6" s="92" t="s">
        <v>186</v>
      </c>
      <c r="H6" s="93" t="e">
        <f>C9-$H$3</f>
        <v>#VALUE!</v>
      </c>
      <c r="I6" s="95" t="e">
        <f>2^-H6</f>
        <v>#VALUE!</v>
      </c>
    </row>
    <row r="7" spans="1:9" x14ac:dyDescent="0.25">
      <c r="A7" s="143"/>
      <c r="B7" s="96" t="s">
        <v>181</v>
      </c>
      <c r="C7" s="90">
        <f>INDEX('Raw qPCR data'!E:E,1+(MATCH("Nucl Neg",'For software'!B:B,0)),1)</f>
        <v>0</v>
      </c>
      <c r="D7" s="90"/>
      <c r="E7" s="91"/>
      <c r="G7" s="92" t="s">
        <v>106</v>
      </c>
      <c r="H7" s="93" t="e">
        <f>C14-$H$3</f>
        <v>#VALUE!</v>
      </c>
      <c r="I7" s="95" t="e">
        <f>2^-H7</f>
        <v>#VALUE!</v>
      </c>
    </row>
    <row r="8" spans="1:9" ht="15.75" thickBot="1" x14ac:dyDescent="0.3">
      <c r="A8" s="97"/>
      <c r="B8" s="98"/>
      <c r="C8" s="99"/>
      <c r="D8" s="99"/>
      <c r="E8" s="100"/>
      <c r="G8" s="101" t="s">
        <v>135</v>
      </c>
      <c r="H8" s="102" t="e">
        <f>C19-$H$3</f>
        <v>#VALUE!</v>
      </c>
      <c r="I8" s="103" t="e">
        <f>2^-H8</f>
        <v>#VALUE!</v>
      </c>
    </row>
    <row r="9" spans="1:9" ht="15.75" thickBot="1" x14ac:dyDescent="0.3">
      <c r="A9" s="144" t="s">
        <v>183</v>
      </c>
      <c r="B9" s="104" t="s">
        <v>178</v>
      </c>
      <c r="C9" s="105">
        <f>IF('Master mixes'!$B$9&lt;2,"N/A",'Raw qPCR data'!E18)</f>
        <v>0</v>
      </c>
      <c r="D9" s="105"/>
      <c r="E9" s="106" t="str">
        <f>IF(C9&gt;(C12-0.2),"Do not trust value",IF(C9&gt;(C12-0.75),"Marginal","Safe"))</f>
        <v>Do not trust value</v>
      </c>
    </row>
    <row r="10" spans="1:9" ht="15.75" thickBot="1" x14ac:dyDescent="0.3">
      <c r="A10" s="144"/>
      <c r="B10" s="104" t="s">
        <v>179</v>
      </c>
      <c r="C10" s="105">
        <f>IF('Master mixes'!$B$9&lt;2,"N/A",'Raw qPCR data'!E19)</f>
        <v>0</v>
      </c>
      <c r="D10" s="105">
        <f>C10-C9</f>
        <v>0</v>
      </c>
      <c r="E10" s="106" t="str">
        <f>IF(E9="Do not trust value","Do not trust value",IF(E9="Marginal","Do not trust value", IF(C10&gt;(C12-0.2),"Do not trust value",IF(C10&gt;(C12-0.75),"Marginal","Safe"))))</f>
        <v>Do not trust value</v>
      </c>
      <c r="G10" s="78"/>
      <c r="H10" s="79" t="s">
        <v>187</v>
      </c>
      <c r="I10" s="80"/>
    </row>
    <row r="11" spans="1:9" x14ac:dyDescent="0.25">
      <c r="A11" s="144"/>
      <c r="B11" s="104" t="s">
        <v>180</v>
      </c>
      <c r="C11" s="105">
        <f>IF('Master mixes'!$B$9&lt;2,"N/A",'Raw qPCR data'!E20)</f>
        <v>0</v>
      </c>
      <c r="D11" s="105">
        <f>C11-C10</f>
        <v>0</v>
      </c>
      <c r="E11" s="106" t="str">
        <f>IF(E10="Do not trust value","Do not trust value",IF(E10="Marginal","Do not trust value", IF(C11&gt;(C12-0.2),"Do not trust value",IF(C11&gt;(C12-0.75),"Marginal","Safe"))))</f>
        <v>Do not trust value</v>
      </c>
      <c r="G11" s="86" t="s">
        <v>226</v>
      </c>
      <c r="H11" s="107" t="str">
        <f>IF(MIN(IF(E5="Safe",C5,99),IF(E10="Safe",C10,99),IF(E15="Safe",C15,99),IF(E20="Safe",C20,99))=99,"no good value",MIN(IF(E5="Safe",C5,99),IF(E10="Safe",C10,99),IF(E15="Safe",C15,99),IF(E20="Safe",C20,99)))</f>
        <v>no good value</v>
      </c>
      <c r="I11" s="108" t="s">
        <v>74</v>
      </c>
    </row>
    <row r="12" spans="1:9" x14ac:dyDescent="0.25">
      <c r="A12" s="144"/>
      <c r="B12" s="104" t="s">
        <v>181</v>
      </c>
      <c r="C12" s="105">
        <f>INDEX('Raw qPCR data'!E:E,1+(MATCH("Chloro Neg",'For software'!B:B,0)),1)</f>
        <v>0</v>
      </c>
      <c r="D12" s="105"/>
      <c r="E12" s="106"/>
      <c r="G12" s="109"/>
      <c r="H12" s="93" t="s">
        <v>227</v>
      </c>
      <c r="I12" s="94" t="s">
        <v>73</v>
      </c>
    </row>
    <row r="13" spans="1:9" x14ac:dyDescent="0.25">
      <c r="A13" s="97"/>
      <c r="B13" s="98"/>
      <c r="C13" s="99"/>
      <c r="D13" s="99"/>
      <c r="E13" s="100"/>
      <c r="G13" s="92" t="s">
        <v>133</v>
      </c>
      <c r="H13" s="93" t="e">
        <f>C5-$H$11</f>
        <v>#VALUE!</v>
      </c>
      <c r="I13" s="95" t="e">
        <f>2^-H13</f>
        <v>#VALUE!</v>
      </c>
    </row>
    <row r="14" spans="1:9" x14ac:dyDescent="0.25">
      <c r="A14" s="145" t="s">
        <v>184</v>
      </c>
      <c r="B14" s="111" t="s">
        <v>178</v>
      </c>
      <c r="C14" s="112">
        <f>IF('Master mixes'!$B$9&lt;2,"N/A",'Raw qPCR data'!E30)</f>
        <v>0</v>
      </c>
      <c r="D14" s="112"/>
      <c r="E14" s="113" t="str">
        <f>IF(C14&gt;($C$17-0.2),"Do not trust value",IF(C14&gt;($C$17-0.75),"Marginal","Safe"))</f>
        <v>Do not trust value</v>
      </c>
      <c r="G14" s="92" t="s">
        <v>186</v>
      </c>
      <c r="H14" s="93" t="e">
        <f>C10-$H$11</f>
        <v>#VALUE!</v>
      </c>
      <c r="I14" s="95" t="e">
        <f>2^-H14</f>
        <v>#VALUE!</v>
      </c>
    </row>
    <row r="15" spans="1:9" x14ac:dyDescent="0.25">
      <c r="A15" s="145"/>
      <c r="B15" s="111" t="s">
        <v>179</v>
      </c>
      <c r="C15" s="112">
        <f>IF('Master mixes'!$B$9&lt;2,"N/A",'Raw qPCR data'!E31)</f>
        <v>0</v>
      </c>
      <c r="D15" s="112">
        <f>C15-C14</f>
        <v>0</v>
      </c>
      <c r="E15" s="113" t="str">
        <f>IF(E14="Do not trust value","Do not trust value",IF(E14="Marginal","Do not trust value", IF(C15&gt;($C$17-0.2),"Do not trust value",IF(C15&gt;($C$17-0.75),"Marginal","Safe"))))</f>
        <v>Do not trust value</v>
      </c>
      <c r="G15" s="92" t="s">
        <v>106</v>
      </c>
      <c r="H15" s="93" t="e">
        <f>C15-$H$11</f>
        <v>#VALUE!</v>
      </c>
      <c r="I15" s="95" t="e">
        <f>2^-H15</f>
        <v>#VALUE!</v>
      </c>
    </row>
    <row r="16" spans="1:9" ht="15.75" thickBot="1" x14ac:dyDescent="0.3">
      <c r="A16" s="145"/>
      <c r="B16" s="111" t="s">
        <v>180</v>
      </c>
      <c r="C16" s="112">
        <f>IF('Master mixes'!$B$9&lt;2,"N/A",'Raw qPCR data'!E32)</f>
        <v>0</v>
      </c>
      <c r="D16" s="112">
        <f>C16-C15</f>
        <v>0</v>
      </c>
      <c r="E16" s="113" t="str">
        <f>IF(E15="Do not trust value","Do not trust value",IF(E15="Marginal","Do not trust value", IF(C16&gt;($C$17-0.2),"Do not trust value",IF(C16&gt;($C$17-0.75),"Marginal","Safe"))))</f>
        <v>Do not trust value</v>
      </c>
      <c r="G16" s="101" t="s">
        <v>135</v>
      </c>
      <c r="H16" s="93" t="e">
        <f>C20-$H$11</f>
        <v>#VALUE!</v>
      </c>
      <c r="I16" s="95" t="e">
        <f>2^-H16</f>
        <v>#VALUE!</v>
      </c>
    </row>
    <row r="17" spans="1:9" ht="15.75" thickBot="1" x14ac:dyDescent="0.3">
      <c r="A17" s="145"/>
      <c r="B17" s="111" t="s">
        <v>181</v>
      </c>
      <c r="C17" s="112">
        <f>INDEX('Raw qPCR data'!E:E,1+(MATCH("Bact Neg",'For software'!B:B,0)),1)</f>
        <v>0</v>
      </c>
      <c r="D17" s="112"/>
      <c r="E17" s="113"/>
    </row>
    <row r="18" spans="1:9" ht="15.75" thickBot="1" x14ac:dyDescent="0.3">
      <c r="A18" s="97"/>
      <c r="B18" s="98"/>
      <c r="C18" s="98"/>
      <c r="D18" s="98"/>
      <c r="E18" s="114"/>
      <c r="G18" s="78"/>
      <c r="H18" s="79" t="s">
        <v>188</v>
      </c>
      <c r="I18" s="80"/>
    </row>
    <row r="19" spans="1:9" x14ac:dyDescent="0.25">
      <c r="A19" s="146" t="s">
        <v>185</v>
      </c>
      <c r="B19" s="115" t="s">
        <v>178</v>
      </c>
      <c r="C19" s="116">
        <f>IF('Master mixes'!$B$9&lt;2,"N/A",'Raw qPCR data'!E42)</f>
        <v>0</v>
      </c>
      <c r="D19" s="116"/>
      <c r="E19" s="117" t="str">
        <f>IF(C19&gt;($C$22-0.2),"Do not trust value",IF(C19&gt;($C$22-0.75),"Marginal","Safe"))</f>
        <v>Do not trust value</v>
      </c>
      <c r="G19" s="86" t="s">
        <v>226</v>
      </c>
      <c r="H19" s="107" t="str">
        <f>IF(MIN(IF(E6="Safe",C6,99), IF(E11="Safe",C11,99),IF(E16="Safe",C16,99),IF(E21="Safe",C21,99))=99,"no good value", MIN(IF(E6="Safe",C6,99), IF(E11="Safe",C11,99),IF(E16="Safe",C16,99),IF(E21="Safe",C21,99)))</f>
        <v>no good value</v>
      </c>
      <c r="I19" s="108" t="s">
        <v>74</v>
      </c>
    </row>
    <row r="20" spans="1:9" x14ac:dyDescent="0.25">
      <c r="A20" s="146"/>
      <c r="B20" s="115" t="s">
        <v>179</v>
      </c>
      <c r="C20" s="116">
        <f>IF('Master mixes'!$B$9&lt;2,"N/A",'Raw qPCR data'!E43)</f>
        <v>0</v>
      </c>
      <c r="D20" s="116">
        <f>C20-C19</f>
        <v>0</v>
      </c>
      <c r="E20" s="117" t="str">
        <f>IF(E19="Do not trust value","Do not trust value",IF(E19="Marginal","Do not trust value", IF(C20&gt;($C$22-0.2),"Do not trust value",IF(C20&gt;($C$22-0.75),"Marginal","Safe"))))</f>
        <v>Do not trust value</v>
      </c>
      <c r="G20" s="109"/>
      <c r="H20" s="93" t="s">
        <v>227</v>
      </c>
      <c r="I20" s="118" t="s">
        <v>73</v>
      </c>
    </row>
    <row r="21" spans="1:9" x14ac:dyDescent="0.25">
      <c r="A21" s="146"/>
      <c r="B21" s="115" t="s">
        <v>180</v>
      </c>
      <c r="C21" s="116">
        <f>IF('Master mixes'!$B$9&lt;2,"N/A",'Raw qPCR data'!E44)</f>
        <v>0</v>
      </c>
      <c r="D21" s="116">
        <f>C21-C20</f>
        <v>0</v>
      </c>
      <c r="E21" s="117" t="str">
        <f>IF(E20="Do not trust value","Do not trust value",IF(E20="Marginal","Do not trust value", IF(C21&gt;($C$22-0.2),"Do not trust value",IF(C21&gt;($C$22-0.75),"Marginal","Safe"))))</f>
        <v>Do not trust value</v>
      </c>
      <c r="G21" s="92" t="s">
        <v>133</v>
      </c>
      <c r="H21" s="93" t="e">
        <f>C6-$H$19</f>
        <v>#VALUE!</v>
      </c>
      <c r="I21" s="95" t="e">
        <f>2^-H21</f>
        <v>#VALUE!</v>
      </c>
    </row>
    <row r="22" spans="1:9" ht="15.75" thickBot="1" x14ac:dyDescent="0.3">
      <c r="A22" s="147"/>
      <c r="B22" s="119" t="s">
        <v>181</v>
      </c>
      <c r="C22" s="120">
        <f>INDEX('Raw qPCR data'!E:E,1+(MATCH("Fungi Neg",'For software'!B:B,0)),1)</f>
        <v>0</v>
      </c>
      <c r="D22" s="120"/>
      <c r="E22" s="121"/>
      <c r="G22" s="92" t="s">
        <v>186</v>
      </c>
      <c r="H22" s="93" t="e">
        <f>C11-$H$19</f>
        <v>#VALUE!</v>
      </c>
      <c r="I22" s="95" t="e">
        <f>2^-H22</f>
        <v>#VALUE!</v>
      </c>
    </row>
    <row r="23" spans="1:9" x14ac:dyDescent="0.25">
      <c r="G23" s="92" t="s">
        <v>106</v>
      </c>
      <c r="H23" s="93" t="e">
        <f>C16-$H$19</f>
        <v>#VALUE!</v>
      </c>
      <c r="I23" s="95" t="e">
        <f>2^-H23</f>
        <v>#VALUE!</v>
      </c>
    </row>
    <row r="24" spans="1:9" ht="15.75" thickBot="1" x14ac:dyDescent="0.3">
      <c r="G24" s="101" t="s">
        <v>135</v>
      </c>
      <c r="H24" s="102" t="e">
        <f>C21-$H$19</f>
        <v>#VALUE!</v>
      </c>
      <c r="I24" s="103" t="e">
        <f>2^-H24</f>
        <v>#VALUE!</v>
      </c>
    </row>
    <row r="25" spans="1:9" x14ac:dyDescent="0.25">
      <c r="F25" s="122"/>
      <c r="G25" s="110"/>
      <c r="H25" s="93"/>
      <c r="I25" s="123"/>
    </row>
    <row r="26" spans="1:9" x14ac:dyDescent="0.25">
      <c r="G26" s="98"/>
      <c r="H26" s="98"/>
      <c r="I26" s="98"/>
    </row>
    <row r="27" spans="1:9" x14ac:dyDescent="0.25">
      <c r="G27" s="98"/>
      <c r="H27" s="98"/>
      <c r="I27" s="98"/>
    </row>
  </sheetData>
  <sheetProtection sheet="1" objects="1" scenarios="1"/>
  <mergeCells count="4">
    <mergeCell ref="A4:A7"/>
    <mergeCell ref="A9:A12"/>
    <mergeCell ref="A14:A17"/>
    <mergeCell ref="A19:A22"/>
  </mergeCells>
  <conditionalFormatting sqref="H13:I13">
    <cfRule type="expression" dxfId="155" priority="9">
      <formula>FIND("Marginal",$E$5,1)</formula>
    </cfRule>
    <cfRule type="expression" dxfId="154" priority="10">
      <formula>FIND("Do not trust value",$E$5,1)</formula>
    </cfRule>
  </conditionalFormatting>
  <conditionalFormatting sqref="H5:I5">
    <cfRule type="expression" dxfId="153" priority="11">
      <formula>FIND("Marginal",$E$4,1)</formula>
    </cfRule>
    <cfRule type="expression" dxfId="152" priority="12">
      <formula>FIND("Do not trust value",$E$4,1)</formula>
    </cfRule>
  </conditionalFormatting>
  <conditionalFormatting sqref="H21:I21">
    <cfRule type="expression" dxfId="151" priority="7">
      <formula>FIND("Marginal",$E$6,1)</formula>
    </cfRule>
    <cfRule type="expression" dxfId="150" priority="8">
      <formula>FIND("Do not trust value",$E$6,1)</formula>
    </cfRule>
  </conditionalFormatting>
  <conditionalFormatting sqref="H22:I22">
    <cfRule type="expression" dxfId="149" priority="5">
      <formula>FIND("Marginal",$E$11,1)</formula>
    </cfRule>
    <cfRule type="expression" dxfId="148" priority="6">
      <formula>FIND("Do not trust value",$E$11,1)</formula>
    </cfRule>
  </conditionalFormatting>
  <conditionalFormatting sqref="H15:I15">
    <cfRule type="expression" dxfId="147" priority="13">
      <formula>FIND("Marginal",$E$15,1)</formula>
    </cfRule>
    <cfRule type="expression" dxfId="146" priority="14">
      <formula>FIND("Do not trust value",$E$15,1)</formula>
    </cfRule>
  </conditionalFormatting>
  <conditionalFormatting sqref="H23:I23">
    <cfRule type="expression" dxfId="145" priority="15">
      <formula>FIND("Marginal",$E$16,1)</formula>
    </cfRule>
    <cfRule type="expression" dxfId="144" priority="16">
      <formula>FIND("Do not trust value",$E$16,1)</formula>
    </cfRule>
  </conditionalFormatting>
  <conditionalFormatting sqref="H7:I7">
    <cfRule type="expression" dxfId="143" priority="17">
      <formula>FIND("Marginal",$E$14,1)</formula>
    </cfRule>
    <cfRule type="expression" dxfId="142" priority="18">
      <formula>FIND("Do not trust value",$E$14,1)</formula>
    </cfRule>
  </conditionalFormatting>
  <conditionalFormatting sqref="H24:I24">
    <cfRule type="expression" dxfId="141" priority="19">
      <formula>FIND("Marginal",$E$21,1)</formula>
    </cfRule>
    <cfRule type="expression" dxfId="140" priority="20">
      <formula>FIND("Do not trust value",$E$21,1)</formula>
    </cfRule>
  </conditionalFormatting>
  <conditionalFormatting sqref="H8:I8">
    <cfRule type="expression" dxfId="139" priority="21">
      <formula>FIND("Marginal",$E$19,1)</formula>
    </cfRule>
    <cfRule type="expression" dxfId="138" priority="22">
      <formula>FIND("Do not trust value",$E$19,1)</formula>
    </cfRule>
  </conditionalFormatting>
  <conditionalFormatting sqref="H16:I16">
    <cfRule type="expression" dxfId="137" priority="23">
      <formula>FIND("Marginal",$E$20,1)</formula>
    </cfRule>
    <cfRule type="expression" dxfId="136" priority="24">
      <formula>FIND("Do not trust value",$E$20,1)</formula>
    </cfRule>
  </conditionalFormatting>
  <conditionalFormatting sqref="H25:I25">
    <cfRule type="expression" dxfId="135" priority="25">
      <formula>FIND("Marginal",#REF!,1)</formula>
    </cfRule>
    <cfRule type="expression" dxfId="134" priority="26">
      <formula>FIND("Do not trust value",#REF!,1)</formula>
    </cfRule>
  </conditionalFormatting>
  <conditionalFormatting sqref="H14:I14">
    <cfRule type="expression" dxfId="133" priority="3">
      <formula>FIND("Marginal",$E$10,1)</formula>
    </cfRule>
    <cfRule type="expression" dxfId="132" priority="4">
      <formula>FIND("Do not trust value",$E$10,1)</formula>
    </cfRule>
  </conditionalFormatting>
  <conditionalFormatting sqref="H6:I6">
    <cfRule type="expression" dxfId="131" priority="1">
      <formula>FIND("Marginal",$E$9,1)</formula>
    </cfRule>
    <cfRule type="expression" dxfId="130" priority="2">
      <formula>FIND("Do not trust value",$E$9,1)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5" x14ac:dyDescent="0.25"/>
  <cols>
    <col min="1" max="1" width="16.28515625" style="70" customWidth="1"/>
    <col min="2" max="2" width="17.42578125" style="70" customWidth="1"/>
    <col min="3" max="3" width="8.28515625" style="70" customWidth="1"/>
    <col min="4" max="4" width="18.7109375" style="70" customWidth="1"/>
    <col min="5" max="5" width="17.7109375" style="70" customWidth="1"/>
    <col min="6" max="6" width="2.85546875" style="70" customWidth="1"/>
    <col min="7" max="7" width="15.140625" style="70" customWidth="1"/>
    <col min="8" max="8" width="18.28515625" style="70" customWidth="1"/>
    <col min="9" max="9" width="26" style="70" customWidth="1"/>
    <col min="10" max="16384" width="9.140625" style="70"/>
  </cols>
  <sheetData>
    <row r="1" spans="1:9" ht="15.75" thickBot="1" x14ac:dyDescent="0.3">
      <c r="B1" s="70" t="s">
        <v>77</v>
      </c>
      <c r="D1" s="77" t="str">
        <f>IF('Master mixes'!B4=0,"NONE",'Master mixes'!B4)</f>
        <v>sample 3</v>
      </c>
    </row>
    <row r="2" spans="1:9" ht="15.75" thickBot="1" x14ac:dyDescent="0.3">
      <c r="G2" s="78"/>
      <c r="H2" s="79" t="s">
        <v>178</v>
      </c>
      <c r="I2" s="80"/>
    </row>
    <row r="3" spans="1:9" ht="30" x14ac:dyDescent="0.25">
      <c r="A3" s="81" t="s">
        <v>99</v>
      </c>
      <c r="B3" s="82" t="s">
        <v>3</v>
      </c>
      <c r="C3" s="83" t="s">
        <v>223</v>
      </c>
      <c r="D3" s="84" t="s">
        <v>72</v>
      </c>
      <c r="E3" s="85" t="s">
        <v>225</v>
      </c>
      <c r="G3" s="86" t="s">
        <v>226</v>
      </c>
      <c r="H3" s="87" t="str">
        <f>IF(MIN(IF(E4="Safe",C4,99),IF(E9="Safe",C9,99),IF(E14="Safe",C14,99),IF(E19="Safe",C19,99))=99,"no good value",MIN(IF(E4="Safe",C4,99),IF(E9="Safe",C9,99),IF(E14="Safe",C14,99),IF(E19="Safe",C19,99)))</f>
        <v>no good value</v>
      </c>
      <c r="I3" s="88" t="s">
        <v>74</v>
      </c>
    </row>
    <row r="4" spans="1:9" ht="15" customHeight="1" x14ac:dyDescent="0.25">
      <c r="A4" s="143" t="s">
        <v>182</v>
      </c>
      <c r="B4" s="89" t="s">
        <v>178</v>
      </c>
      <c r="C4" s="90">
        <f>IF('Master mixes'!$B$9&lt;3,"N/A",'Raw qPCR data'!E9)</f>
        <v>0</v>
      </c>
      <c r="D4" s="90"/>
      <c r="E4" s="91" t="str">
        <f>IF(C4&gt;($C$7-0.2),"Do not trust value",IF(C4&gt;($C$7-0.75),"Marginal","Safe"))</f>
        <v>Do not trust value</v>
      </c>
      <c r="G4" s="92"/>
      <c r="H4" s="93" t="s">
        <v>227</v>
      </c>
      <c r="I4" s="94" t="s">
        <v>73</v>
      </c>
    </row>
    <row r="5" spans="1:9" x14ac:dyDescent="0.25">
      <c r="A5" s="143"/>
      <c r="B5" s="89" t="s">
        <v>179</v>
      </c>
      <c r="C5" s="90">
        <f>IF('Master mixes'!$B$9&lt;3,"N/A",'Raw qPCR data'!E10)</f>
        <v>0</v>
      </c>
      <c r="D5" s="90">
        <f>C5-C4</f>
        <v>0</v>
      </c>
      <c r="E5" s="91" t="str">
        <f>IF(E4="Do not trust value","Do not trust value",IF(E4="Marginal","Do not trust value", IF(C5&gt;($C$7-0.2),"Do not trust value",IF(C5&gt;($C$7-0.75),"Marginal","Safe"))))</f>
        <v>Do not trust value</v>
      </c>
      <c r="G5" s="92" t="s">
        <v>133</v>
      </c>
      <c r="H5" s="93" t="e">
        <f>C4-$H$3</f>
        <v>#VALUE!</v>
      </c>
      <c r="I5" s="95" t="e">
        <f>2^-H5</f>
        <v>#VALUE!</v>
      </c>
    </row>
    <row r="6" spans="1:9" x14ac:dyDescent="0.25">
      <c r="A6" s="143"/>
      <c r="B6" s="89" t="s">
        <v>180</v>
      </c>
      <c r="C6" s="90">
        <f>IF('Master mixes'!$B$9&lt;3,"N/A",'Raw qPCR data'!E11)</f>
        <v>0</v>
      </c>
      <c r="D6" s="90">
        <f>C6-C5</f>
        <v>0</v>
      </c>
      <c r="E6" s="91" t="str">
        <f>IF(E5="Do not trust value","Do not trust value",IF(E5="Marginal","Do not trust value", IF(C6&gt;($C$7-0.2),"Do not trust value",IF(C6&gt;($C$7-0.75),"Marginal","Safe"))))</f>
        <v>Do not trust value</v>
      </c>
      <c r="G6" s="92" t="s">
        <v>186</v>
      </c>
      <c r="H6" s="93" t="e">
        <f>C9-$H$3</f>
        <v>#VALUE!</v>
      </c>
      <c r="I6" s="95" t="e">
        <f>2^-H6</f>
        <v>#VALUE!</v>
      </c>
    </row>
    <row r="7" spans="1:9" x14ac:dyDescent="0.25">
      <c r="A7" s="143"/>
      <c r="B7" s="96" t="s">
        <v>181</v>
      </c>
      <c r="C7" s="90">
        <f>INDEX('Raw qPCR data'!E:E,1+(MATCH("Nucl Neg",'For software'!B:B,0)),1)</f>
        <v>0</v>
      </c>
      <c r="D7" s="90"/>
      <c r="E7" s="91"/>
      <c r="G7" s="92" t="s">
        <v>106</v>
      </c>
      <c r="H7" s="93" t="e">
        <f>C14-$H$3</f>
        <v>#VALUE!</v>
      </c>
      <c r="I7" s="95" t="e">
        <f>2^-H7</f>
        <v>#VALUE!</v>
      </c>
    </row>
    <row r="8" spans="1:9" ht="15.75" thickBot="1" x14ac:dyDescent="0.3">
      <c r="A8" s="97"/>
      <c r="B8" s="98"/>
      <c r="C8" s="99"/>
      <c r="D8" s="99"/>
      <c r="E8" s="100"/>
      <c r="G8" s="101" t="s">
        <v>135</v>
      </c>
      <c r="H8" s="102" t="e">
        <f>C19-$H$3</f>
        <v>#VALUE!</v>
      </c>
      <c r="I8" s="103" t="e">
        <f>2^-H8</f>
        <v>#VALUE!</v>
      </c>
    </row>
    <row r="9" spans="1:9" ht="15.75" thickBot="1" x14ac:dyDescent="0.3">
      <c r="A9" s="144" t="s">
        <v>183</v>
      </c>
      <c r="B9" s="104" t="s">
        <v>178</v>
      </c>
      <c r="C9" s="105">
        <f>IF('Master mixes'!$B$9&lt;3,"N/A",'Raw qPCR data'!E21)</f>
        <v>0</v>
      </c>
      <c r="D9" s="105"/>
      <c r="E9" s="106" t="str">
        <f>IF(C9&gt;(C12-0.2),"Do not trust value",IF(C9&gt;(C12-0.75),"Marginal","Safe"))</f>
        <v>Do not trust value</v>
      </c>
    </row>
    <row r="10" spans="1:9" ht="15.75" thickBot="1" x14ac:dyDescent="0.3">
      <c r="A10" s="144"/>
      <c r="B10" s="104" t="s">
        <v>179</v>
      </c>
      <c r="C10" s="105">
        <f>IF('Master mixes'!$B$9&lt;3,"N/A",'Raw qPCR data'!E22)</f>
        <v>0</v>
      </c>
      <c r="D10" s="105">
        <f>C10-C9</f>
        <v>0</v>
      </c>
      <c r="E10" s="106" t="str">
        <f>IF(E9="Do not trust value","Do not trust value",IF(E9="Marginal","Do not trust value", IF(C10&gt;(C12-0.2),"Do not trust value",IF(C10&gt;(C12-0.75),"Marginal","Safe"))))</f>
        <v>Do not trust value</v>
      </c>
      <c r="G10" s="78"/>
      <c r="H10" s="79" t="s">
        <v>187</v>
      </c>
      <c r="I10" s="80"/>
    </row>
    <row r="11" spans="1:9" x14ac:dyDescent="0.25">
      <c r="A11" s="144"/>
      <c r="B11" s="104" t="s">
        <v>180</v>
      </c>
      <c r="C11" s="105">
        <f>IF('Master mixes'!$B$9&lt;3,"N/A",'Raw qPCR data'!E23)</f>
        <v>0</v>
      </c>
      <c r="D11" s="105">
        <f>C11-C10</f>
        <v>0</v>
      </c>
      <c r="E11" s="106" t="str">
        <f>IF(E10="Do not trust value","Do not trust value",IF(E10="Marginal","Do not trust value", IF(C11&gt;(C12-0.2),"Do not trust value",IF(C11&gt;(C12-0.75),"Marginal","Safe"))))</f>
        <v>Do not trust value</v>
      </c>
      <c r="G11" s="86" t="s">
        <v>226</v>
      </c>
      <c r="H11" s="107" t="str">
        <f>IF(MIN(IF(E5="Safe",C5,99),IF(E10="Safe",C10,99),IF(E15="Safe",C15,99),IF(E20="Safe",C20,99))=99,"no good value",MIN(IF(E5="Safe",C5,99),IF(E10="Safe",C10,99),IF(E15="Safe",C15,99),IF(E20="Safe",C20,99)))</f>
        <v>no good value</v>
      </c>
      <c r="I11" s="108" t="s">
        <v>74</v>
      </c>
    </row>
    <row r="12" spans="1:9" x14ac:dyDescent="0.25">
      <c r="A12" s="144"/>
      <c r="B12" s="104" t="s">
        <v>181</v>
      </c>
      <c r="C12" s="105">
        <f>INDEX('Raw qPCR data'!E:E,1+(MATCH("Chloro Neg",'For software'!B:B,0)),1)</f>
        <v>0</v>
      </c>
      <c r="D12" s="105"/>
      <c r="E12" s="106"/>
      <c r="G12" s="109"/>
      <c r="H12" s="93" t="s">
        <v>227</v>
      </c>
      <c r="I12" s="94" t="s">
        <v>73</v>
      </c>
    </row>
    <row r="13" spans="1:9" x14ac:dyDescent="0.25">
      <c r="A13" s="97"/>
      <c r="B13" s="98"/>
      <c r="C13" s="99"/>
      <c r="D13" s="99"/>
      <c r="E13" s="100"/>
      <c r="G13" s="92" t="s">
        <v>133</v>
      </c>
      <c r="H13" s="93" t="e">
        <f>C5-$H$11</f>
        <v>#VALUE!</v>
      </c>
      <c r="I13" s="95" t="e">
        <f>2^-H13</f>
        <v>#VALUE!</v>
      </c>
    </row>
    <row r="14" spans="1:9" x14ac:dyDescent="0.25">
      <c r="A14" s="145" t="s">
        <v>184</v>
      </c>
      <c r="B14" s="111" t="s">
        <v>178</v>
      </c>
      <c r="C14" s="112">
        <f>IF('Master mixes'!$B$9&lt;3,"N/A",'Raw qPCR data'!E33)</f>
        <v>0</v>
      </c>
      <c r="D14" s="112"/>
      <c r="E14" s="113" t="str">
        <f>IF(C14&gt;($C$17-0.2),"Do not trust value",IF(C14&gt;($C$17-0.75),"Marginal","Safe"))</f>
        <v>Do not trust value</v>
      </c>
      <c r="G14" s="92" t="s">
        <v>186</v>
      </c>
      <c r="H14" s="93" t="e">
        <f>C10-$H$11</f>
        <v>#VALUE!</v>
      </c>
      <c r="I14" s="95" t="e">
        <f>2^-H14</f>
        <v>#VALUE!</v>
      </c>
    </row>
    <row r="15" spans="1:9" x14ac:dyDescent="0.25">
      <c r="A15" s="145"/>
      <c r="B15" s="111" t="s">
        <v>179</v>
      </c>
      <c r="C15" s="112">
        <f>IF('Master mixes'!$B$9&lt;3,"N/A",'Raw qPCR data'!E34)</f>
        <v>0</v>
      </c>
      <c r="D15" s="112">
        <f>C15-C14</f>
        <v>0</v>
      </c>
      <c r="E15" s="113" t="str">
        <f>IF(E14="Do not trust value","Do not trust value",IF(E14="Marginal","Do not trust value", IF(C15&gt;($C$17-0.2),"Do not trust value",IF(C15&gt;($C$17-0.75),"Marginal","Safe"))))</f>
        <v>Do not trust value</v>
      </c>
      <c r="G15" s="92" t="s">
        <v>106</v>
      </c>
      <c r="H15" s="93" t="e">
        <f>C15-$H$11</f>
        <v>#VALUE!</v>
      </c>
      <c r="I15" s="95" t="e">
        <f>2^-H15</f>
        <v>#VALUE!</v>
      </c>
    </row>
    <row r="16" spans="1:9" ht="15.75" thickBot="1" x14ac:dyDescent="0.3">
      <c r="A16" s="145"/>
      <c r="B16" s="111" t="s">
        <v>180</v>
      </c>
      <c r="C16" s="112">
        <f>IF('Master mixes'!$B$9&lt;3,"N/A",'Raw qPCR data'!E35)</f>
        <v>0</v>
      </c>
      <c r="D16" s="112">
        <f>C16-C15</f>
        <v>0</v>
      </c>
      <c r="E16" s="113" t="str">
        <f>IF(E15="Do not trust value","Do not trust value",IF(E15="Marginal","Do not trust value", IF(C16&gt;($C$17-0.2),"Do not trust value",IF(C16&gt;($C$17-0.75),"Marginal","Safe"))))</f>
        <v>Do not trust value</v>
      </c>
      <c r="G16" s="101" t="s">
        <v>135</v>
      </c>
      <c r="H16" s="93" t="e">
        <f>C20-$H$11</f>
        <v>#VALUE!</v>
      </c>
      <c r="I16" s="95" t="e">
        <f>2^-H16</f>
        <v>#VALUE!</v>
      </c>
    </row>
    <row r="17" spans="1:9" ht="15.75" thickBot="1" x14ac:dyDescent="0.3">
      <c r="A17" s="145"/>
      <c r="B17" s="111" t="s">
        <v>181</v>
      </c>
      <c r="C17" s="112">
        <f>INDEX('Raw qPCR data'!E:E,1+(MATCH("Bact Neg",'For software'!B:B,0)),1)</f>
        <v>0</v>
      </c>
      <c r="D17" s="112"/>
      <c r="E17" s="113"/>
    </row>
    <row r="18" spans="1:9" ht="15.75" thickBot="1" x14ac:dyDescent="0.3">
      <c r="A18" s="97"/>
      <c r="B18" s="98"/>
      <c r="C18" s="98"/>
      <c r="D18" s="98"/>
      <c r="E18" s="114"/>
      <c r="G18" s="78"/>
      <c r="H18" s="79" t="s">
        <v>188</v>
      </c>
      <c r="I18" s="80"/>
    </row>
    <row r="19" spans="1:9" x14ac:dyDescent="0.25">
      <c r="A19" s="146" t="s">
        <v>185</v>
      </c>
      <c r="B19" s="115" t="s">
        <v>178</v>
      </c>
      <c r="C19" s="116">
        <f>IF('Master mixes'!$B$9&lt;3,"N/A",'Raw qPCR data'!E45)</f>
        <v>0</v>
      </c>
      <c r="D19" s="116"/>
      <c r="E19" s="117" t="str">
        <f>IF(C19&gt;($C$22-0.2),"Do not trust value",IF(C19&gt;($C$22-0.75),"Marginal","Safe"))</f>
        <v>Do not trust value</v>
      </c>
      <c r="G19" s="86" t="s">
        <v>226</v>
      </c>
      <c r="H19" s="107" t="str">
        <f>IF(MIN(IF(E6="Safe",C6,99), IF(E11="Safe",C11,99),IF(E16="Safe",C16,99),IF(E21="Safe",C21,99))=99,"no good value", MIN(IF(E6="Safe",C6,99), IF(E11="Safe",C11,99),IF(E16="Safe",C16,99),IF(E21="Safe",C21,99)))</f>
        <v>no good value</v>
      </c>
      <c r="I19" s="108" t="s">
        <v>74</v>
      </c>
    </row>
    <row r="20" spans="1:9" x14ac:dyDescent="0.25">
      <c r="A20" s="146"/>
      <c r="B20" s="115" t="s">
        <v>179</v>
      </c>
      <c r="C20" s="116">
        <f>IF('Master mixes'!$B$9&lt;3,"N/A",'Raw qPCR data'!E46)</f>
        <v>0</v>
      </c>
      <c r="D20" s="116">
        <f>C20-C19</f>
        <v>0</v>
      </c>
      <c r="E20" s="117" t="str">
        <f>IF(E19="Do not trust value","Do not trust value",IF(E19="Marginal","Do not trust value", IF(C20&gt;($C$22-0.2),"Do not trust value",IF(C20&gt;($C$22-0.75),"Marginal","Safe"))))</f>
        <v>Do not trust value</v>
      </c>
      <c r="G20" s="109"/>
      <c r="H20" s="93" t="s">
        <v>227</v>
      </c>
      <c r="I20" s="118" t="s">
        <v>73</v>
      </c>
    </row>
    <row r="21" spans="1:9" x14ac:dyDescent="0.25">
      <c r="A21" s="146"/>
      <c r="B21" s="115" t="s">
        <v>180</v>
      </c>
      <c r="C21" s="116">
        <f>IF('Master mixes'!$B$9&lt;3,"N/A",'Raw qPCR data'!E47)</f>
        <v>0</v>
      </c>
      <c r="D21" s="116">
        <f>C21-C20</f>
        <v>0</v>
      </c>
      <c r="E21" s="117" t="str">
        <f>IF(E20="Do not trust value","Do not trust value",IF(E20="Marginal","Do not trust value", IF(C21&gt;($C$22-0.2),"Do not trust value",IF(C21&gt;($C$22-0.75),"Marginal","Safe"))))</f>
        <v>Do not trust value</v>
      </c>
      <c r="G21" s="92" t="s">
        <v>133</v>
      </c>
      <c r="H21" s="93" t="e">
        <f>C6-$H$19</f>
        <v>#VALUE!</v>
      </c>
      <c r="I21" s="95" t="e">
        <f>2^-H21</f>
        <v>#VALUE!</v>
      </c>
    </row>
    <row r="22" spans="1:9" ht="15.75" thickBot="1" x14ac:dyDescent="0.3">
      <c r="A22" s="147"/>
      <c r="B22" s="119" t="s">
        <v>181</v>
      </c>
      <c r="C22" s="120">
        <f>INDEX('Raw qPCR data'!E:E,1+(MATCH("Fungi Neg",'For software'!B:B,0)),1)</f>
        <v>0</v>
      </c>
      <c r="D22" s="120"/>
      <c r="E22" s="121"/>
      <c r="G22" s="92" t="s">
        <v>186</v>
      </c>
      <c r="H22" s="93" t="e">
        <f>C11-$H$19</f>
        <v>#VALUE!</v>
      </c>
      <c r="I22" s="95" t="e">
        <f>2^-H22</f>
        <v>#VALUE!</v>
      </c>
    </row>
    <row r="23" spans="1:9" x14ac:dyDescent="0.25">
      <c r="G23" s="92" t="s">
        <v>106</v>
      </c>
      <c r="H23" s="93" t="e">
        <f>C16-$H$19</f>
        <v>#VALUE!</v>
      </c>
      <c r="I23" s="95" t="e">
        <f>2^-H23</f>
        <v>#VALUE!</v>
      </c>
    </row>
    <row r="24" spans="1:9" ht="15.75" thickBot="1" x14ac:dyDescent="0.3">
      <c r="G24" s="101" t="s">
        <v>135</v>
      </c>
      <c r="H24" s="102" t="e">
        <f>C21-$H$19</f>
        <v>#VALUE!</v>
      </c>
      <c r="I24" s="103" t="e">
        <f>2^-H24</f>
        <v>#VALUE!</v>
      </c>
    </row>
    <row r="25" spans="1:9" x14ac:dyDescent="0.25">
      <c r="F25" s="122"/>
      <c r="G25" s="110"/>
      <c r="H25" s="93"/>
      <c r="I25" s="123"/>
    </row>
    <row r="26" spans="1:9" x14ac:dyDescent="0.25">
      <c r="G26" s="98"/>
      <c r="H26" s="98"/>
      <c r="I26" s="98"/>
    </row>
    <row r="27" spans="1:9" x14ac:dyDescent="0.25">
      <c r="G27" s="98"/>
      <c r="H27" s="98"/>
      <c r="I27" s="98"/>
    </row>
  </sheetData>
  <sheetProtection sheet="1" objects="1" scenarios="1"/>
  <mergeCells count="4">
    <mergeCell ref="A4:A7"/>
    <mergeCell ref="A9:A12"/>
    <mergeCell ref="A14:A17"/>
    <mergeCell ref="A19:A22"/>
  </mergeCells>
  <conditionalFormatting sqref="H13:I13">
    <cfRule type="expression" dxfId="129" priority="9">
      <formula>FIND("Marginal",$E$5,1)</formula>
    </cfRule>
    <cfRule type="expression" dxfId="128" priority="10">
      <formula>FIND("Do not trust value",$E$5,1)</formula>
    </cfRule>
  </conditionalFormatting>
  <conditionalFormatting sqref="H5:I5">
    <cfRule type="expression" dxfId="127" priority="11">
      <formula>FIND("Marginal",$E$4,1)</formula>
    </cfRule>
    <cfRule type="expression" dxfId="126" priority="12">
      <formula>FIND("Do not trust value",$E$4,1)</formula>
    </cfRule>
  </conditionalFormatting>
  <conditionalFormatting sqref="H21:I21">
    <cfRule type="expression" dxfId="125" priority="7">
      <formula>FIND("Marginal",$E$6,1)</formula>
    </cfRule>
    <cfRule type="expression" dxfId="124" priority="8">
      <formula>FIND("Do not trust value",$E$6,1)</formula>
    </cfRule>
  </conditionalFormatting>
  <conditionalFormatting sqref="H22:I22">
    <cfRule type="expression" dxfId="123" priority="5">
      <formula>FIND("Marginal",$E$11,1)</formula>
    </cfRule>
    <cfRule type="expression" dxfId="122" priority="6">
      <formula>FIND("Do not trust value",$E$11,1)</formula>
    </cfRule>
  </conditionalFormatting>
  <conditionalFormatting sqref="H15:I15">
    <cfRule type="expression" dxfId="121" priority="13">
      <formula>FIND("Marginal",$E$15,1)</formula>
    </cfRule>
    <cfRule type="expression" dxfId="120" priority="14">
      <formula>FIND("Do not trust value",$E$15,1)</formula>
    </cfRule>
  </conditionalFormatting>
  <conditionalFormatting sqref="H23:I23">
    <cfRule type="expression" dxfId="119" priority="15">
      <formula>FIND("Marginal",$E$16,1)</formula>
    </cfRule>
    <cfRule type="expression" dxfId="118" priority="16">
      <formula>FIND("Do not trust value",$E$16,1)</formula>
    </cfRule>
  </conditionalFormatting>
  <conditionalFormatting sqref="H7:I7">
    <cfRule type="expression" dxfId="117" priority="17">
      <formula>FIND("Marginal",$E$14,1)</formula>
    </cfRule>
    <cfRule type="expression" dxfId="116" priority="18">
      <formula>FIND("Do not trust value",$E$14,1)</formula>
    </cfRule>
  </conditionalFormatting>
  <conditionalFormatting sqref="H24:I24">
    <cfRule type="expression" dxfId="115" priority="19">
      <formula>FIND("Marginal",$E$21,1)</formula>
    </cfRule>
    <cfRule type="expression" dxfId="114" priority="20">
      <formula>FIND("Do not trust value",$E$21,1)</formula>
    </cfRule>
  </conditionalFormatting>
  <conditionalFormatting sqref="H8:I8">
    <cfRule type="expression" dxfId="113" priority="21">
      <formula>FIND("Marginal",$E$19,1)</formula>
    </cfRule>
    <cfRule type="expression" dxfId="112" priority="22">
      <formula>FIND("Do not trust value",$E$19,1)</formula>
    </cfRule>
  </conditionalFormatting>
  <conditionalFormatting sqref="H16:I16">
    <cfRule type="expression" dxfId="111" priority="23">
      <formula>FIND("Marginal",$E$20,1)</formula>
    </cfRule>
    <cfRule type="expression" dxfId="110" priority="24">
      <formula>FIND("Do not trust value",$E$20,1)</formula>
    </cfRule>
  </conditionalFormatting>
  <conditionalFormatting sqref="H25:I25">
    <cfRule type="expression" dxfId="109" priority="25">
      <formula>FIND("Marginal",#REF!,1)</formula>
    </cfRule>
    <cfRule type="expression" dxfId="108" priority="26">
      <formula>FIND("Do not trust value",#REF!,1)</formula>
    </cfRule>
  </conditionalFormatting>
  <conditionalFormatting sqref="H14:I14">
    <cfRule type="expression" dxfId="107" priority="3">
      <formula>FIND("Marginal",$E$10,1)</formula>
    </cfRule>
    <cfRule type="expression" dxfId="106" priority="4">
      <formula>FIND("Do not trust value",$E$10,1)</formula>
    </cfRule>
  </conditionalFormatting>
  <conditionalFormatting sqref="H6:I6">
    <cfRule type="expression" dxfId="105" priority="1">
      <formula>FIND("Marginal",$E$9,1)</formula>
    </cfRule>
    <cfRule type="expression" dxfId="104" priority="2">
      <formula>FIND("Do not trust value",$E$9,1)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5" x14ac:dyDescent="0.25"/>
  <cols>
    <col min="1" max="1" width="16.28515625" style="70" customWidth="1"/>
    <col min="2" max="2" width="17.42578125" style="70" customWidth="1"/>
    <col min="3" max="3" width="8.28515625" style="70" customWidth="1"/>
    <col min="4" max="4" width="18.7109375" style="70" customWidth="1"/>
    <col min="5" max="5" width="17.7109375" style="70" customWidth="1"/>
    <col min="6" max="6" width="2.85546875" style="70" customWidth="1"/>
    <col min="7" max="7" width="15.140625" style="70" customWidth="1"/>
    <col min="8" max="8" width="18.28515625" style="70" customWidth="1"/>
    <col min="9" max="9" width="26" style="70" customWidth="1"/>
    <col min="10" max="16384" width="9.140625" style="70"/>
  </cols>
  <sheetData>
    <row r="1" spans="1:9" ht="15.75" thickBot="1" x14ac:dyDescent="0.3">
      <c r="B1" s="70" t="s">
        <v>125</v>
      </c>
      <c r="D1" s="77" t="str">
        <f>IF('Master mixes'!B5=0,"NONE",'Master mixes'!B5)</f>
        <v>sample 4</v>
      </c>
    </row>
    <row r="2" spans="1:9" ht="15.75" thickBot="1" x14ac:dyDescent="0.3">
      <c r="G2" s="78"/>
      <c r="H2" s="79" t="s">
        <v>178</v>
      </c>
      <c r="I2" s="80"/>
    </row>
    <row r="3" spans="1:9" ht="30" x14ac:dyDescent="0.25">
      <c r="A3" s="81" t="s">
        <v>99</v>
      </c>
      <c r="B3" s="82" t="s">
        <v>3</v>
      </c>
      <c r="C3" s="83" t="s">
        <v>223</v>
      </c>
      <c r="D3" s="84" t="s">
        <v>72</v>
      </c>
      <c r="E3" s="85" t="s">
        <v>225</v>
      </c>
      <c r="G3" s="86" t="s">
        <v>226</v>
      </c>
      <c r="H3" s="87" t="str">
        <f>IF(MIN(IF(E4="Safe",C4,99),IF(E9="Safe",C9,99),IF(E14="Safe",C14,99),IF(E19="Safe",C19,99))=99,"no good value",MIN(IF(E4="Safe",C4,99),IF(E9="Safe",C9,99),IF(E14="Safe",C14,99),IF(E19="Safe",C19,99)))</f>
        <v>no good value</v>
      </c>
      <c r="I3" s="88" t="s">
        <v>74</v>
      </c>
    </row>
    <row r="4" spans="1:9" ht="15" customHeight="1" x14ac:dyDescent="0.25">
      <c r="A4" s="143" t="s">
        <v>182</v>
      </c>
      <c r="B4" s="89" t="s">
        <v>178</v>
      </c>
      <c r="C4" s="90">
        <f>IF('Master mixes'!$B$9&lt;4,"N/A",'Raw qPCR data'!E12)</f>
        <v>0</v>
      </c>
      <c r="D4" s="90"/>
      <c r="E4" s="91" t="str">
        <f>IF(C4&gt;($C$7-0.2),"Do not trust value",IF(C4&gt;($C$7-0.75),"Marginal","Safe"))</f>
        <v>Do not trust value</v>
      </c>
      <c r="G4" s="92"/>
      <c r="H4" s="93" t="s">
        <v>227</v>
      </c>
      <c r="I4" s="94" t="s">
        <v>73</v>
      </c>
    </row>
    <row r="5" spans="1:9" x14ac:dyDescent="0.25">
      <c r="A5" s="143"/>
      <c r="B5" s="89" t="s">
        <v>179</v>
      </c>
      <c r="C5" s="90">
        <f>IF('Master mixes'!$B$9&lt;4,"N/A",'Raw qPCR data'!E13)</f>
        <v>0</v>
      </c>
      <c r="D5" s="90">
        <f>C5-C4</f>
        <v>0</v>
      </c>
      <c r="E5" s="91" t="str">
        <f>IF(E4="Do not trust value","Do not trust value",IF(E4="Marginal","Do not trust value", IF(C5&gt;($C$7-0.2),"Do not trust value",IF(C5&gt;($C$7-0.75),"Marginal","Safe"))))</f>
        <v>Do not trust value</v>
      </c>
      <c r="G5" s="92" t="s">
        <v>133</v>
      </c>
      <c r="H5" s="93" t="e">
        <f>C4-$H$3</f>
        <v>#VALUE!</v>
      </c>
      <c r="I5" s="95" t="e">
        <f>2^-H5</f>
        <v>#VALUE!</v>
      </c>
    </row>
    <row r="6" spans="1:9" x14ac:dyDescent="0.25">
      <c r="A6" s="143"/>
      <c r="B6" s="89" t="s">
        <v>180</v>
      </c>
      <c r="C6" s="90">
        <f>IF('Master mixes'!$B$9&lt;4,"N/A",'Raw qPCR data'!E14)</f>
        <v>0</v>
      </c>
      <c r="D6" s="90">
        <f>C6-C5</f>
        <v>0</v>
      </c>
      <c r="E6" s="91" t="str">
        <f>IF(E5="Do not trust value","Do not trust value",IF(E5="Marginal","Do not trust value", IF(C6&gt;($C$7-0.2),"Do not trust value",IF(C6&gt;($C$7-0.75),"Marginal","Safe"))))</f>
        <v>Do not trust value</v>
      </c>
      <c r="G6" s="92" t="s">
        <v>186</v>
      </c>
      <c r="H6" s="93" t="e">
        <f>C9-$H$3</f>
        <v>#VALUE!</v>
      </c>
      <c r="I6" s="95" t="e">
        <f>2^-H6</f>
        <v>#VALUE!</v>
      </c>
    </row>
    <row r="7" spans="1:9" x14ac:dyDescent="0.25">
      <c r="A7" s="143"/>
      <c r="B7" s="96" t="s">
        <v>181</v>
      </c>
      <c r="C7" s="90">
        <f>INDEX('Raw qPCR data'!E:E,1+(MATCH("Nucl Neg",'For software'!B:B,0)),1)</f>
        <v>0</v>
      </c>
      <c r="D7" s="90"/>
      <c r="E7" s="91"/>
      <c r="G7" s="92" t="s">
        <v>106</v>
      </c>
      <c r="H7" s="93" t="e">
        <f>C14-$H$3</f>
        <v>#VALUE!</v>
      </c>
      <c r="I7" s="95" t="e">
        <f>2^-H7</f>
        <v>#VALUE!</v>
      </c>
    </row>
    <row r="8" spans="1:9" ht="15.75" thickBot="1" x14ac:dyDescent="0.3">
      <c r="A8" s="97"/>
      <c r="B8" s="98"/>
      <c r="C8" s="99"/>
      <c r="D8" s="99"/>
      <c r="E8" s="100"/>
      <c r="G8" s="101" t="s">
        <v>135</v>
      </c>
      <c r="H8" s="102" t="e">
        <f>C19-$H$3</f>
        <v>#VALUE!</v>
      </c>
      <c r="I8" s="103" t="e">
        <f>2^-H8</f>
        <v>#VALUE!</v>
      </c>
    </row>
    <row r="9" spans="1:9" ht="15.75" thickBot="1" x14ac:dyDescent="0.3">
      <c r="A9" s="144" t="s">
        <v>183</v>
      </c>
      <c r="B9" s="104" t="s">
        <v>178</v>
      </c>
      <c r="C9" s="105">
        <f>IF('Master mixes'!$B$9&lt;4,"N/A",'Raw qPCR data'!E24)</f>
        <v>0</v>
      </c>
      <c r="D9" s="105"/>
      <c r="E9" s="106" t="str">
        <f>IF(C9&gt;(C12-0.2),"Do not trust value",IF(C9&gt;(C12-0.75),"Marginal","Safe"))</f>
        <v>Do not trust value</v>
      </c>
    </row>
    <row r="10" spans="1:9" ht="15.75" thickBot="1" x14ac:dyDescent="0.3">
      <c r="A10" s="144"/>
      <c r="B10" s="104" t="s">
        <v>179</v>
      </c>
      <c r="C10" s="105">
        <f>IF('Master mixes'!$B$9&lt;4,"N/A",'Raw qPCR data'!E25)</f>
        <v>0</v>
      </c>
      <c r="D10" s="105">
        <f>C10-C9</f>
        <v>0</v>
      </c>
      <c r="E10" s="106" t="str">
        <f>IF(E9="Do not trust value","Do not trust value",IF(E9="Marginal","Do not trust value", IF(C10&gt;(C12-0.2),"Do not trust value",IF(C10&gt;(C12-0.75),"Marginal","Safe"))))</f>
        <v>Do not trust value</v>
      </c>
      <c r="G10" s="78"/>
      <c r="H10" s="79" t="s">
        <v>187</v>
      </c>
      <c r="I10" s="80"/>
    </row>
    <row r="11" spans="1:9" x14ac:dyDescent="0.25">
      <c r="A11" s="144"/>
      <c r="B11" s="104" t="s">
        <v>180</v>
      </c>
      <c r="C11" s="105">
        <f>IF('Master mixes'!$B$9&lt;4,"N/A",'Raw qPCR data'!E26)</f>
        <v>0</v>
      </c>
      <c r="D11" s="105">
        <f>C11-C10</f>
        <v>0</v>
      </c>
      <c r="E11" s="106" t="str">
        <f>IF(E10="Do not trust value","Do not trust value",IF(E10="Marginal","Do not trust value", IF(C11&gt;(C12-0.2),"Do not trust value",IF(C11&gt;(C12-0.75),"Marginal","Safe"))))</f>
        <v>Do not trust value</v>
      </c>
      <c r="G11" s="86" t="s">
        <v>226</v>
      </c>
      <c r="H11" s="107" t="str">
        <f>IF(MIN(IF(E5="Safe",C5,99),IF(E10="Safe",C10,99),IF(E15="Safe",C15,99),IF(E20="Safe",C20,99))=99,"no good value",MIN(IF(E5="Safe",C5,99),IF(E10="Safe",C10,99),IF(E15="Safe",C15,99),IF(E20="Safe",C20,99)))</f>
        <v>no good value</v>
      </c>
      <c r="I11" s="108" t="s">
        <v>74</v>
      </c>
    </row>
    <row r="12" spans="1:9" x14ac:dyDescent="0.25">
      <c r="A12" s="144"/>
      <c r="B12" s="104" t="s">
        <v>181</v>
      </c>
      <c r="C12" s="105">
        <f>INDEX('Raw qPCR data'!E:E,1+(MATCH("Chloro Neg",'For software'!B:B,0)),1)</f>
        <v>0</v>
      </c>
      <c r="D12" s="105"/>
      <c r="E12" s="106"/>
      <c r="G12" s="109"/>
      <c r="H12" s="93" t="s">
        <v>227</v>
      </c>
      <c r="I12" s="94" t="s">
        <v>73</v>
      </c>
    </row>
    <row r="13" spans="1:9" x14ac:dyDescent="0.25">
      <c r="A13" s="97"/>
      <c r="B13" s="98"/>
      <c r="C13" s="99"/>
      <c r="D13" s="99"/>
      <c r="E13" s="100"/>
      <c r="G13" s="92" t="s">
        <v>133</v>
      </c>
      <c r="H13" s="93" t="e">
        <f>C5-$H$11</f>
        <v>#VALUE!</v>
      </c>
      <c r="I13" s="95" t="e">
        <f>2^-H13</f>
        <v>#VALUE!</v>
      </c>
    </row>
    <row r="14" spans="1:9" x14ac:dyDescent="0.25">
      <c r="A14" s="145" t="s">
        <v>184</v>
      </c>
      <c r="B14" s="111" t="s">
        <v>178</v>
      </c>
      <c r="C14" s="112">
        <f>IF('Master mixes'!$B$9&lt;4,"N/A",'Raw qPCR data'!E36)</f>
        <v>0</v>
      </c>
      <c r="D14" s="112"/>
      <c r="E14" s="113" t="str">
        <f>IF(C14&gt;($C$17-0.2),"Do not trust value",IF(C14&gt;($C$17-0.75),"Marginal","Safe"))</f>
        <v>Do not trust value</v>
      </c>
      <c r="G14" s="92" t="s">
        <v>186</v>
      </c>
      <c r="H14" s="93" t="e">
        <f>C10-$H$11</f>
        <v>#VALUE!</v>
      </c>
      <c r="I14" s="95" t="e">
        <f>2^-H14</f>
        <v>#VALUE!</v>
      </c>
    </row>
    <row r="15" spans="1:9" x14ac:dyDescent="0.25">
      <c r="A15" s="145"/>
      <c r="B15" s="111" t="s">
        <v>179</v>
      </c>
      <c r="C15" s="112">
        <f>IF('Master mixes'!$B$9&lt;4,"N/A",'Raw qPCR data'!E37)</f>
        <v>0</v>
      </c>
      <c r="D15" s="112">
        <f>C15-C14</f>
        <v>0</v>
      </c>
      <c r="E15" s="113" t="str">
        <f>IF(E14="Do not trust value","Do not trust value",IF(E14="Marginal","Do not trust value", IF(C15&gt;($C$17-0.2),"Do not trust value",IF(C15&gt;($C$17-0.75),"Marginal","Safe"))))</f>
        <v>Do not trust value</v>
      </c>
      <c r="G15" s="92" t="s">
        <v>106</v>
      </c>
      <c r="H15" s="93" t="e">
        <f>C15-$H$11</f>
        <v>#VALUE!</v>
      </c>
      <c r="I15" s="95" t="e">
        <f>2^-H15</f>
        <v>#VALUE!</v>
      </c>
    </row>
    <row r="16" spans="1:9" ht="15.75" thickBot="1" x14ac:dyDescent="0.3">
      <c r="A16" s="145"/>
      <c r="B16" s="111" t="s">
        <v>180</v>
      </c>
      <c r="C16" s="112">
        <f>IF('Master mixes'!$B$9&lt;4,"N/A",'Raw qPCR data'!E38)</f>
        <v>0</v>
      </c>
      <c r="D16" s="112">
        <f>C16-C15</f>
        <v>0</v>
      </c>
      <c r="E16" s="113" t="str">
        <f>IF(E15="Do not trust value","Do not trust value",IF(E15="Marginal","Do not trust value", IF(C16&gt;($C$17-0.2),"Do not trust value",IF(C16&gt;($C$17-0.75),"Marginal","Safe"))))</f>
        <v>Do not trust value</v>
      </c>
      <c r="G16" s="101" t="s">
        <v>135</v>
      </c>
      <c r="H16" s="93" t="e">
        <f>C20-$H$11</f>
        <v>#VALUE!</v>
      </c>
      <c r="I16" s="95" t="e">
        <f>2^-H16</f>
        <v>#VALUE!</v>
      </c>
    </row>
    <row r="17" spans="1:9" ht="15.75" thickBot="1" x14ac:dyDescent="0.3">
      <c r="A17" s="145"/>
      <c r="B17" s="111" t="s">
        <v>181</v>
      </c>
      <c r="C17" s="112">
        <f>INDEX('Raw qPCR data'!E:E,1+(MATCH("Bact Neg",'For software'!B:B,0)),1)</f>
        <v>0</v>
      </c>
      <c r="D17" s="112"/>
      <c r="E17" s="113"/>
    </row>
    <row r="18" spans="1:9" ht="15.75" thickBot="1" x14ac:dyDescent="0.3">
      <c r="A18" s="97"/>
      <c r="B18" s="98"/>
      <c r="C18" s="98"/>
      <c r="D18" s="98"/>
      <c r="E18" s="114"/>
      <c r="G18" s="78"/>
      <c r="H18" s="79" t="s">
        <v>188</v>
      </c>
      <c r="I18" s="80"/>
    </row>
    <row r="19" spans="1:9" x14ac:dyDescent="0.25">
      <c r="A19" s="146" t="s">
        <v>185</v>
      </c>
      <c r="B19" s="115" t="s">
        <v>178</v>
      </c>
      <c r="C19" s="116">
        <f>IF('Master mixes'!$B$9&lt;4,"N/A",'Raw qPCR data'!E48)</f>
        <v>0</v>
      </c>
      <c r="D19" s="116"/>
      <c r="E19" s="117" t="str">
        <f>IF(C19&gt;($C$22-0.2),"Do not trust value",IF(C19&gt;($C$22-0.75),"Marginal","Safe"))</f>
        <v>Do not trust value</v>
      </c>
      <c r="G19" s="86" t="s">
        <v>226</v>
      </c>
      <c r="H19" s="107" t="str">
        <f>IF(MIN(IF(E6="Safe",C6,99), IF(E11="Safe",C11,99),IF(E16="Safe",C16,99),IF(E21="Safe",C21,99))=99,"no good value", MIN(IF(E6="Safe",C6,99), IF(E11="Safe",C11,99),IF(E16="Safe",C16,99),IF(E21="Safe",C21,99)))</f>
        <v>no good value</v>
      </c>
      <c r="I19" s="108" t="s">
        <v>74</v>
      </c>
    </row>
    <row r="20" spans="1:9" x14ac:dyDescent="0.25">
      <c r="A20" s="146"/>
      <c r="B20" s="115" t="s">
        <v>179</v>
      </c>
      <c r="C20" s="116">
        <f>IF('Master mixes'!$B$9&lt;4,"N/A",'Raw qPCR data'!E49)</f>
        <v>0</v>
      </c>
      <c r="D20" s="116">
        <f>C20-C19</f>
        <v>0</v>
      </c>
      <c r="E20" s="117" t="str">
        <f>IF(E19="Do not trust value","Do not trust value",IF(E19="Marginal","Do not trust value", IF(C20&gt;($C$22-0.2),"Do not trust value",IF(C20&gt;($C$22-0.75),"Marginal","Safe"))))</f>
        <v>Do not trust value</v>
      </c>
      <c r="G20" s="109"/>
      <c r="H20" s="93" t="s">
        <v>227</v>
      </c>
      <c r="I20" s="118" t="s">
        <v>73</v>
      </c>
    </row>
    <row r="21" spans="1:9" x14ac:dyDescent="0.25">
      <c r="A21" s="146"/>
      <c r="B21" s="115" t="s">
        <v>180</v>
      </c>
      <c r="C21" s="116">
        <f>IF('Master mixes'!$B$9&lt;4,"N/A",'Raw qPCR data'!E50)</f>
        <v>0</v>
      </c>
      <c r="D21" s="116">
        <f>C21-C20</f>
        <v>0</v>
      </c>
      <c r="E21" s="117" t="str">
        <f>IF(E20="Do not trust value","Do not trust value",IF(E20="Marginal","Do not trust value", IF(C21&gt;($C$22-0.2),"Do not trust value",IF(C21&gt;($C$22-0.75),"Marginal","Safe"))))</f>
        <v>Do not trust value</v>
      </c>
      <c r="G21" s="92" t="s">
        <v>133</v>
      </c>
      <c r="H21" s="93" t="e">
        <f>C6-$H$19</f>
        <v>#VALUE!</v>
      </c>
      <c r="I21" s="95" t="e">
        <f>2^-H21</f>
        <v>#VALUE!</v>
      </c>
    </row>
    <row r="22" spans="1:9" ht="15.75" thickBot="1" x14ac:dyDescent="0.3">
      <c r="A22" s="147"/>
      <c r="B22" s="119" t="s">
        <v>181</v>
      </c>
      <c r="C22" s="120">
        <f>INDEX('Raw qPCR data'!E:E,1+(MATCH("Fungi Neg",'For software'!B:B,0)),1)</f>
        <v>0</v>
      </c>
      <c r="D22" s="120"/>
      <c r="E22" s="121"/>
      <c r="G22" s="92" t="s">
        <v>186</v>
      </c>
      <c r="H22" s="93" t="e">
        <f>C11-$H$19</f>
        <v>#VALUE!</v>
      </c>
      <c r="I22" s="95" t="e">
        <f>2^-H22</f>
        <v>#VALUE!</v>
      </c>
    </row>
    <row r="23" spans="1:9" x14ac:dyDescent="0.25">
      <c r="G23" s="92" t="s">
        <v>106</v>
      </c>
      <c r="H23" s="93" t="e">
        <f>C16-$H$19</f>
        <v>#VALUE!</v>
      </c>
      <c r="I23" s="95" t="e">
        <f>2^-H23</f>
        <v>#VALUE!</v>
      </c>
    </row>
    <row r="24" spans="1:9" ht="15.75" thickBot="1" x14ac:dyDescent="0.3">
      <c r="G24" s="101" t="s">
        <v>135</v>
      </c>
      <c r="H24" s="102" t="e">
        <f>C21-$H$19</f>
        <v>#VALUE!</v>
      </c>
      <c r="I24" s="103" t="e">
        <f>2^-H24</f>
        <v>#VALUE!</v>
      </c>
    </row>
    <row r="25" spans="1:9" x14ac:dyDescent="0.25">
      <c r="F25" s="122"/>
      <c r="G25" s="110"/>
      <c r="H25" s="93"/>
      <c r="I25" s="123"/>
    </row>
    <row r="26" spans="1:9" x14ac:dyDescent="0.25">
      <c r="G26" s="98"/>
      <c r="H26" s="98"/>
      <c r="I26" s="98"/>
    </row>
    <row r="27" spans="1:9" x14ac:dyDescent="0.25">
      <c r="G27" s="98"/>
      <c r="H27" s="98"/>
      <c r="I27" s="98"/>
    </row>
  </sheetData>
  <sheetProtection sheet="1" objects="1" scenarios="1"/>
  <mergeCells count="4">
    <mergeCell ref="A4:A7"/>
    <mergeCell ref="A9:A12"/>
    <mergeCell ref="A14:A17"/>
    <mergeCell ref="A19:A22"/>
  </mergeCells>
  <conditionalFormatting sqref="H13:I13">
    <cfRule type="expression" dxfId="103" priority="9">
      <formula>FIND("Marginal",$E$5,1)</formula>
    </cfRule>
    <cfRule type="expression" dxfId="102" priority="10">
      <formula>FIND("Do not trust value",$E$5,1)</formula>
    </cfRule>
  </conditionalFormatting>
  <conditionalFormatting sqref="H5:I5">
    <cfRule type="expression" dxfId="101" priority="11">
      <formula>FIND("Marginal",$E$4,1)</formula>
    </cfRule>
    <cfRule type="expression" dxfId="100" priority="12">
      <formula>FIND("Do not trust value",$E$4,1)</formula>
    </cfRule>
  </conditionalFormatting>
  <conditionalFormatting sqref="H21:I21">
    <cfRule type="expression" dxfId="99" priority="7">
      <formula>FIND("Marginal",$E$6,1)</formula>
    </cfRule>
    <cfRule type="expression" dxfId="98" priority="8">
      <formula>FIND("Do not trust value",$E$6,1)</formula>
    </cfRule>
  </conditionalFormatting>
  <conditionalFormatting sqref="H22:I22">
    <cfRule type="expression" dxfId="97" priority="5">
      <formula>FIND("Marginal",$E$11,1)</formula>
    </cfRule>
    <cfRule type="expression" dxfId="96" priority="6">
      <formula>FIND("Do not trust value",$E$11,1)</formula>
    </cfRule>
  </conditionalFormatting>
  <conditionalFormatting sqref="H15:I15">
    <cfRule type="expression" dxfId="95" priority="13">
      <formula>FIND("Marginal",$E$15,1)</formula>
    </cfRule>
    <cfRule type="expression" dxfId="94" priority="14">
      <formula>FIND("Do not trust value",$E$15,1)</formula>
    </cfRule>
  </conditionalFormatting>
  <conditionalFormatting sqref="H23:I23">
    <cfRule type="expression" dxfId="93" priority="15">
      <formula>FIND("Marginal",$E$16,1)</formula>
    </cfRule>
    <cfRule type="expression" dxfId="92" priority="16">
      <formula>FIND("Do not trust value",$E$16,1)</formula>
    </cfRule>
  </conditionalFormatting>
  <conditionalFormatting sqref="H7:I7">
    <cfRule type="expression" dxfId="91" priority="17">
      <formula>FIND("Marginal",$E$14,1)</formula>
    </cfRule>
    <cfRule type="expression" dxfId="90" priority="18">
      <formula>FIND("Do not trust value",$E$14,1)</formula>
    </cfRule>
  </conditionalFormatting>
  <conditionalFormatting sqref="H24:I24">
    <cfRule type="expression" dxfId="89" priority="19">
      <formula>FIND("Marginal",$E$21,1)</formula>
    </cfRule>
    <cfRule type="expression" dxfId="88" priority="20">
      <formula>FIND("Do not trust value",$E$21,1)</formula>
    </cfRule>
  </conditionalFormatting>
  <conditionalFormatting sqref="H8:I8">
    <cfRule type="expression" dxfId="87" priority="21">
      <formula>FIND("Marginal",$E$19,1)</formula>
    </cfRule>
    <cfRule type="expression" dxfId="86" priority="22">
      <formula>FIND("Do not trust value",$E$19,1)</formula>
    </cfRule>
  </conditionalFormatting>
  <conditionalFormatting sqref="H16:I16">
    <cfRule type="expression" dxfId="85" priority="23">
      <formula>FIND("Marginal",$E$20,1)</formula>
    </cfRule>
    <cfRule type="expression" dxfId="84" priority="24">
      <formula>FIND("Do not trust value",$E$20,1)</formula>
    </cfRule>
  </conditionalFormatting>
  <conditionalFormatting sqref="H25:I25">
    <cfRule type="expression" dxfId="83" priority="25">
      <formula>FIND("Marginal",#REF!,1)</formula>
    </cfRule>
    <cfRule type="expression" dxfId="82" priority="26">
      <formula>FIND("Do not trust value",#REF!,1)</formula>
    </cfRule>
  </conditionalFormatting>
  <conditionalFormatting sqref="H14:I14">
    <cfRule type="expression" dxfId="81" priority="3">
      <formula>FIND("Marginal",$E$10,1)</formula>
    </cfRule>
    <cfRule type="expression" dxfId="80" priority="4">
      <formula>FIND("Do not trust value",$E$10,1)</formula>
    </cfRule>
  </conditionalFormatting>
  <conditionalFormatting sqref="H6:I6">
    <cfRule type="expression" dxfId="79" priority="1">
      <formula>FIND("Marginal",$E$9,1)</formula>
    </cfRule>
    <cfRule type="expression" dxfId="78" priority="2">
      <formula>FIND("Do not trust value",$E$9,1)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Directions</vt:lpstr>
      <vt:lpstr>Master mixes</vt:lpstr>
      <vt:lpstr>Plate layout</vt:lpstr>
      <vt:lpstr>For software</vt:lpstr>
      <vt:lpstr>Raw qPCR data</vt:lpstr>
      <vt:lpstr>Sample 1</vt:lpstr>
      <vt:lpstr>Sample 2</vt:lpstr>
      <vt:lpstr>Sample 3</vt:lpstr>
      <vt:lpstr>Sample 4</vt:lpstr>
      <vt:lpstr>Sample 5</vt:lpstr>
      <vt:lpstr>Sample 6</vt:lpstr>
      <vt:lpstr>Sample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</dc:creator>
  <cp:lastModifiedBy>Nathan Wales</cp:lastModifiedBy>
  <dcterms:created xsi:type="dcterms:W3CDTF">2011-03-03T15:50:53Z</dcterms:created>
  <dcterms:modified xsi:type="dcterms:W3CDTF">2012-08-27T21:09:35Z</dcterms:modified>
</cp:coreProperties>
</file>