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360" windowHeight="7725" activeTab="4"/>
  </bookViews>
  <sheets>
    <sheet name="TMH_BaseCase" sheetId="1" r:id="rId1"/>
    <sheet name="Ref1_TMH_Volumes" sheetId="21" r:id="rId2"/>
    <sheet name="Ref2_USD_Exchange_Rate" sheetId="57" r:id="rId3"/>
    <sheet name="Ref3_Lab_Staff_Cost" sheetId="6" r:id="rId4"/>
    <sheet name="Ref4_CDWVolumes" sheetId="130" r:id="rId5"/>
  </sheets>
  <externalReferences>
    <externalReference r:id="rId6"/>
  </externalReferences>
  <definedNames>
    <definedName name="ER">#REF!</definedName>
    <definedName name="ER_1">#REF!</definedName>
    <definedName name="ERD" localSheetId="4">[1]R13_ER!$P$5</definedName>
    <definedName name="ERD">Ref2_USD_Exchange_Rate!$P$5</definedName>
    <definedName name="ERON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2" i="130" l="1"/>
  <c r="G102" i="130"/>
  <c r="F102" i="130"/>
  <c r="E102" i="130"/>
  <c r="D102" i="130"/>
  <c r="C102" i="130"/>
  <c r="B102" i="130"/>
  <c r="I101" i="130"/>
  <c r="I100" i="130"/>
  <c r="I99" i="130"/>
  <c r="I98" i="130"/>
  <c r="I97" i="130"/>
  <c r="I96" i="130"/>
  <c r="I95" i="130"/>
  <c r="I94" i="130"/>
  <c r="I93" i="130"/>
  <c r="I92" i="130"/>
  <c r="I91" i="130"/>
  <c r="I90" i="130"/>
  <c r="I89" i="130"/>
  <c r="I88" i="130"/>
  <c r="I87" i="130"/>
  <c r="I86" i="130"/>
  <c r="I85" i="130"/>
  <c r="I84" i="130"/>
  <c r="I83" i="130"/>
  <c r="I82" i="130"/>
  <c r="I81" i="130"/>
  <c r="I80" i="130"/>
  <c r="I79" i="130"/>
  <c r="I78" i="130"/>
  <c r="I77" i="130"/>
  <c r="I76" i="130"/>
  <c r="I75" i="130"/>
  <c r="I74" i="130"/>
  <c r="I73" i="130"/>
  <c r="I72" i="130"/>
  <c r="I71" i="130"/>
  <c r="I70" i="130"/>
  <c r="I69" i="130"/>
  <c r="I68" i="130"/>
  <c r="I67" i="130"/>
  <c r="I66" i="130"/>
  <c r="I65" i="130"/>
  <c r="I64" i="130"/>
  <c r="I63" i="130"/>
  <c r="I62" i="130"/>
  <c r="I61" i="130"/>
  <c r="I60" i="130"/>
  <c r="I59" i="130"/>
  <c r="I58" i="130"/>
  <c r="I57" i="130"/>
  <c r="I56" i="130"/>
  <c r="I55" i="130"/>
  <c r="I54" i="130"/>
  <c r="I53" i="130"/>
  <c r="I52" i="130"/>
  <c r="I51" i="130"/>
  <c r="I50" i="130"/>
  <c r="I49" i="130"/>
  <c r="I48" i="130"/>
  <c r="I47" i="130"/>
  <c r="I46" i="130"/>
  <c r="I45" i="130"/>
  <c r="I44" i="130"/>
  <c r="I43" i="130"/>
  <c r="I42" i="130"/>
  <c r="I41" i="130"/>
  <c r="I40" i="130"/>
  <c r="I39" i="130"/>
  <c r="I38" i="130"/>
  <c r="I37" i="130"/>
  <c r="I36" i="130"/>
  <c r="I35" i="130"/>
  <c r="I34" i="130"/>
  <c r="I33" i="130"/>
  <c r="I32" i="130"/>
  <c r="I31" i="130"/>
  <c r="I30" i="130"/>
  <c r="I29" i="130"/>
  <c r="I28" i="130"/>
  <c r="I27" i="130"/>
  <c r="I26" i="130"/>
  <c r="I25" i="130"/>
  <c r="I24" i="130"/>
  <c r="I23" i="130"/>
  <c r="I22" i="130"/>
  <c r="I21" i="130"/>
  <c r="I20" i="130"/>
  <c r="I19" i="130"/>
  <c r="I18" i="130"/>
  <c r="I17" i="130"/>
  <c r="I16" i="130"/>
  <c r="I15" i="130"/>
  <c r="I14" i="130"/>
  <c r="I102" i="130" l="1"/>
  <c r="B3" i="1" l="1"/>
  <c r="B2" i="1"/>
  <c r="B4" i="1"/>
  <c r="L10" i="1" l="1"/>
  <c r="L37" i="1" s="1"/>
  <c r="L38" i="1" s="1"/>
  <c r="B12" i="1"/>
  <c r="B14" i="1" l="1"/>
  <c r="G41" i="1" l="1"/>
  <c r="G46" i="1"/>
  <c r="G47" i="1"/>
  <c r="G45" i="1"/>
  <c r="G42" i="1"/>
  <c r="G49" i="1"/>
  <c r="G61" i="1"/>
  <c r="G48" i="1"/>
  <c r="G44" i="1"/>
  <c r="G43" i="1"/>
  <c r="G57" i="1"/>
  <c r="L28" i="1" l="1"/>
  <c r="L29" i="1" s="1"/>
  <c r="L40" i="1" s="1"/>
  <c r="F25" i="1" l="1"/>
  <c r="L25" i="1" l="1"/>
  <c r="L31" i="1" l="1"/>
  <c r="L33" i="1" l="1"/>
  <c r="F24" i="1" s="1"/>
  <c r="D3" i="21"/>
  <c r="C3" i="21" s="1"/>
  <c r="D25" i="1" l="1"/>
  <c r="D24" i="1"/>
  <c r="D49" i="1" l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B36" i="1"/>
  <c r="F34" i="1"/>
  <c r="E34" i="1"/>
  <c r="F33" i="1"/>
  <c r="E33" i="1"/>
  <c r="E25" i="1"/>
  <c r="G25" i="1" s="1"/>
  <c r="F41" i="1" l="1"/>
  <c r="F51" i="1" s="1"/>
  <c r="D34" i="1"/>
  <c r="G34" i="1" s="1"/>
  <c r="D33" i="1"/>
  <c r="G33" i="1" s="1"/>
  <c r="C36" i="1"/>
  <c r="E24" i="1"/>
  <c r="G24" i="1" s="1"/>
  <c r="H43" i="1"/>
  <c r="H45" i="1"/>
  <c r="H47" i="1"/>
  <c r="H42" i="1"/>
  <c r="H44" i="1"/>
  <c r="H46" i="1"/>
  <c r="G36" i="1" l="1"/>
  <c r="C57" i="1" s="1"/>
  <c r="C61" i="1" s="1"/>
  <c r="H48" i="1"/>
  <c r="H49" i="1"/>
  <c r="H41" i="1"/>
  <c r="E28" i="1"/>
  <c r="D36" i="1"/>
  <c r="H51" i="1" l="1"/>
  <c r="E57" i="1" s="1"/>
  <c r="E61" i="1" s="1"/>
  <c r="G28" i="1" l="1"/>
  <c r="D57" i="1" s="1"/>
  <c r="D61" i="1" s="1"/>
  <c r="F57" i="1" l="1"/>
  <c r="H57" i="1" s="1"/>
  <c r="F28" i="1"/>
  <c r="F61" i="1"/>
  <c r="H61" i="1" l="1"/>
  <c r="D4" i="1" l="1"/>
  <c r="D5" i="1" s="1"/>
</calcChain>
</file>

<file path=xl/comments1.xml><?xml version="1.0" encoding="utf-8"?>
<comments xmlns="http://schemas.openxmlformats.org/spreadsheetml/2006/main">
  <authors>
    <author>naseem.cassim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naseem.cassim:</t>
        </r>
        <r>
          <rPr>
            <sz val="9"/>
            <color indexed="81"/>
            <rFont val="Tahoma"/>
            <family val="2"/>
          </rPr>
          <t xml:space="preserve">
Working days</t>
        </r>
      </text>
    </comment>
  </commentList>
</comments>
</file>

<file path=xl/sharedStrings.xml><?xml version="1.0" encoding="utf-8"?>
<sst xmlns="http://schemas.openxmlformats.org/spreadsheetml/2006/main" count="237" uniqueCount="212">
  <si>
    <t>Assumptions</t>
  </si>
  <si>
    <t>Working life, years</t>
  </si>
  <si>
    <t>Annual discount rate</t>
  </si>
  <si>
    <t>Working Days</t>
  </si>
  <si>
    <t>Exclusions</t>
  </si>
  <si>
    <t>Cost of building and electricity</t>
  </si>
  <si>
    <t>Base Error Rate</t>
  </si>
  <si>
    <t>Staff</t>
  </si>
  <si>
    <t>Staff type</t>
  </si>
  <si>
    <t>Number of staff</t>
  </si>
  <si>
    <t>Grade</t>
  </si>
  <si>
    <t>Total Cost</t>
  </si>
  <si>
    <t>% of Time</t>
  </si>
  <si>
    <t>Source</t>
  </si>
  <si>
    <t>C2</t>
  </si>
  <si>
    <t>√</t>
  </si>
  <si>
    <t>B3</t>
  </si>
  <si>
    <t>D1</t>
  </si>
  <si>
    <t>Total</t>
  </si>
  <si>
    <t>Assets</t>
  </si>
  <si>
    <t xml:space="preserve">  Description</t>
  </si>
  <si>
    <t>Qty</t>
  </si>
  <si>
    <t>Unit Cost</t>
  </si>
  <si>
    <t>Total costs</t>
  </si>
  <si>
    <t>Reagent Costs</t>
  </si>
  <si>
    <t>Item</t>
  </si>
  <si>
    <t>Qty Supplied</t>
  </si>
  <si>
    <t>Cost p/Unit</t>
  </si>
  <si>
    <t>Qty Used</t>
  </si>
  <si>
    <t>Cost ptest</t>
  </si>
  <si>
    <t>Asset cost per month</t>
  </si>
  <si>
    <t>Racks</t>
  </si>
  <si>
    <t>Pipette 40ul</t>
  </si>
  <si>
    <t>No of CD4 &lt;= 100 samples p/y</t>
  </si>
  <si>
    <t>Total Time (min)</t>
  </si>
  <si>
    <t>Total Time (hr)</t>
  </si>
  <si>
    <t>PAY ZONE</t>
  </si>
  <si>
    <t>P02A1097</t>
  </si>
  <si>
    <t>BROTHER HL 5350DN LASER TONER</t>
  </si>
  <si>
    <t>P02G0088</t>
  </si>
  <si>
    <t>GLOVES - LATEX POWDER FREE SMALL     (100/BOX)</t>
  </si>
  <si>
    <t>10 LITRE SHARPS</t>
  </si>
  <si>
    <t>P02H0924</t>
  </si>
  <si>
    <t>50 LITRE DISPOSAL BOX complete with lid and liner</t>
  </si>
  <si>
    <t>P03S0028</t>
  </si>
  <si>
    <t>P04M0161</t>
  </si>
  <si>
    <t>SARSTELT 2ML MICROTUBES 1000/BOX</t>
  </si>
  <si>
    <t>P17S0401</t>
  </si>
  <si>
    <t>A4 PAPER BOND 80 GRMS WHT TYPK (500/Ream)</t>
  </si>
  <si>
    <t>PC549045</t>
  </si>
  <si>
    <t>GAUZE GEM NON WOVEN SWAB   100/Box</t>
  </si>
  <si>
    <t>PC584037</t>
  </si>
  <si>
    <t>PIPETTE TIPS GILSON YELLOW 5-200UL BOX OF 1000</t>
  </si>
  <si>
    <t>Batch size</t>
  </si>
  <si>
    <t>Prepare worklist</t>
  </si>
  <si>
    <t>Find samples</t>
  </si>
  <si>
    <t>Prepare tubes</t>
  </si>
  <si>
    <t>Add diluent and controls</t>
  </si>
  <si>
    <t>Add pat plasma</t>
  </si>
  <si>
    <t>Add test strip</t>
  </si>
  <si>
    <t>10min incubation</t>
  </si>
  <si>
    <t>Read results, enter wrklist</t>
  </si>
  <si>
    <t>Enter results on LIMS</t>
  </si>
  <si>
    <t>File samples</t>
  </si>
  <si>
    <t>8 Hours</t>
  </si>
  <si>
    <t>Time per 60</t>
  </si>
  <si>
    <t>Tambo Memorial</t>
  </si>
  <si>
    <t>Region</t>
  </si>
  <si>
    <t>Laboratory</t>
  </si>
  <si>
    <t>Gauteng</t>
  </si>
  <si>
    <t>CrAg LFA Kit (Cryptococcal Antigen LFA)</t>
  </si>
  <si>
    <t>Salary p/a (CTC)</t>
  </si>
  <si>
    <t>Medical Technologist (Testing)</t>
  </si>
  <si>
    <t>Lab Manager (Review)</t>
  </si>
  <si>
    <t>Annual equivalent cost</t>
  </si>
  <si>
    <t>Total Cost p/a</t>
  </si>
  <si>
    <t>No of Tests p/a</t>
  </si>
  <si>
    <t>Actual (Lunch 60 and Tea 15)</t>
  </si>
  <si>
    <t>Staff cost</t>
  </si>
  <si>
    <t xml:space="preserve">Staff cost </t>
  </si>
  <si>
    <t>Asset cost</t>
  </si>
  <si>
    <t>Reagent cost</t>
  </si>
  <si>
    <t>Months</t>
  </si>
  <si>
    <t>Total  costs</t>
  </si>
  <si>
    <t>CrAg per month (/12)</t>
  </si>
  <si>
    <t>RPT1005 ARV Volumes by Test Ranges NHLS-&gt;Testing Lab Combined-&gt;Fiscal Reviewed Month</t>
  </si>
  <si>
    <t>Report Filter:</t>
  </si>
  <si>
    <t>({Test Group} = Cd4) And ({Testing Lab Region} = Western/Northern Cape, Gauteng, Limpopo/Mpumalanga, Free State/North West, Eastern Cape, Kwa-Zulu Natal) And ({Fiscal Reviewed Year} = FY 13/14, FY 14/15)</t>
  </si>
  <si>
    <t>View Filter:</t>
  </si>
  <si>
    <t>({Test Range} &lt;&gt; Not available) And ({Fiscal Reviewed Month} = Dec 2014, Nov 2014, Oct 2014, Sep 2014, Aug 2014, Jul 2014, Jun 2014, May 2014, Apr 2014, Mar 2014, Feb 2014, Jan 2014)</t>
  </si>
  <si>
    <t>Page by:</t>
  </si>
  <si>
    <t>Test Group: Cd4</t>
  </si>
  <si>
    <t>Metrics: Total Tests</t>
  </si>
  <si>
    <t>Testing Lab Combined</t>
  </si>
  <si>
    <t>&lt;= 50</t>
  </si>
  <si>
    <t>&gt; 50 &lt;= 100</t>
  </si>
  <si>
    <t>&gt; 100 &lt;= 200</t>
  </si>
  <si>
    <t>&gt; 200 &lt;= 350</t>
  </si>
  <si>
    <t>&gt; 350 &lt;= 500</t>
  </si>
  <si>
    <t>&gt; 500</t>
  </si>
  <si>
    <t>Addington Laboratory</t>
  </si>
  <si>
    <t>Appelsbosch Laboratory</t>
  </si>
  <si>
    <t>Benedictine Laboratory</t>
  </si>
  <si>
    <t>Bethesda Laboratory</t>
  </si>
  <si>
    <t>Butterworth Laboratory</t>
  </si>
  <si>
    <t>Catherine Booth Laboratory</t>
  </si>
  <si>
    <t>Cecilia Makiwane Laboratory</t>
  </si>
  <si>
    <t>Ceza Laboratory</t>
  </si>
  <si>
    <t>Charles Johnson Memorial Hospital</t>
  </si>
  <si>
    <t>Charlotte Maxeke Johannesburg Academic Hospital</t>
  </si>
  <si>
    <t>Chris Hani Baragwanath Laboratory</t>
  </si>
  <si>
    <t>Christ The King Laboratory</t>
  </si>
  <si>
    <t>Church Of Scotland Laboratory</t>
  </si>
  <si>
    <t>De Aar Laboratory</t>
  </si>
  <si>
    <t>Dr George Mukhari Laboratory</t>
  </si>
  <si>
    <t>Dumbe Laboratory</t>
  </si>
  <si>
    <t>Dundee Laboratory</t>
  </si>
  <si>
    <t>East London Laboratory</t>
  </si>
  <si>
    <t>Edendale Laboratory</t>
  </si>
  <si>
    <t>Edenvale Laboratory</t>
  </si>
  <si>
    <t>Ekombe Laboratory</t>
  </si>
  <si>
    <t>Emmaus Laboratory</t>
  </si>
  <si>
    <t>Ermelo Laboratory</t>
  </si>
  <si>
    <t>Eshowe Laboratory</t>
  </si>
  <si>
    <t>Estcourt Laboratory</t>
  </si>
  <si>
    <t>Ganyesa Laboratory</t>
  </si>
  <si>
    <t>George Laboratory</t>
  </si>
  <si>
    <t>George Masebe Laboratory</t>
  </si>
  <si>
    <t>Grahamstown Laboratory</t>
  </si>
  <si>
    <t>Green Point Laboratory</t>
  </si>
  <si>
    <t>Groote Schuur Laboratory</t>
  </si>
  <si>
    <t>Helen Joseph Laboratory</t>
  </si>
  <si>
    <t>Hlabisa Laboratory</t>
  </si>
  <si>
    <t>Huhudi Laboratory</t>
  </si>
  <si>
    <t>Kalafong Laboratory</t>
  </si>
  <si>
    <t>Kimberley Laboratory</t>
  </si>
  <si>
    <t>King Edward Viii Laboratory</t>
  </si>
  <si>
    <t>Kokstad Laboratory</t>
  </si>
  <si>
    <t>Ladysmith Laboratory</t>
  </si>
  <si>
    <t>Letaba Laboratory</t>
  </si>
  <si>
    <t>Livingstone Laboratory</t>
  </si>
  <si>
    <t>Madadeni Laboratory</t>
  </si>
  <si>
    <t>Mafikeng Laboratory</t>
  </si>
  <si>
    <t>Mahatma Gandhi Laboratory</t>
  </si>
  <si>
    <t>Manapo Laboratory</t>
  </si>
  <si>
    <t>Manguzi Laboratory</t>
  </si>
  <si>
    <t>Mbongolwane Laboratory</t>
  </si>
  <si>
    <t>Mokopane Laboratory</t>
  </si>
  <si>
    <t>Montebello Laboratory</t>
  </si>
  <si>
    <t>Mosvold Laboratory</t>
  </si>
  <si>
    <t>Mthatha Laboratory</t>
  </si>
  <si>
    <t>Nelspruit Laboratory</t>
  </si>
  <si>
    <t>Newcastle Laboratory</t>
  </si>
  <si>
    <t>Ngwelezana Laboratory</t>
  </si>
  <si>
    <t>Nkandla Laboratory</t>
  </si>
  <si>
    <t>Nkonjeni Laboratory</t>
  </si>
  <si>
    <t>Northdale Laboratory</t>
  </si>
  <si>
    <t>Pelonomi Laboratory</t>
  </si>
  <si>
    <t>Pholosong Laboratory</t>
  </si>
  <si>
    <t>Polokwane Laboratory</t>
  </si>
  <si>
    <t>Port Elizabeth Laboratory</t>
  </si>
  <si>
    <t>Port Shepstone Laboratory</t>
  </si>
  <si>
    <t>Prince Mshiyeni Memorial Hospital</t>
  </si>
  <si>
    <t>Queenstown Laboratory</t>
  </si>
  <si>
    <t>Rk Khan Laboratory</t>
  </si>
  <si>
    <t>Rustenburg Laboratory</t>
  </si>
  <si>
    <t>Shongwe Laboratory</t>
  </si>
  <si>
    <t>Siloam Laboratory</t>
  </si>
  <si>
    <t>South Rand Laboratory</t>
  </si>
  <si>
    <t>St Apollinaris Laboratory</t>
  </si>
  <si>
    <t>St Elizabeth Laboratory</t>
  </si>
  <si>
    <t>St Mary's Laboratory</t>
  </si>
  <si>
    <t>Stanger Laboratory</t>
  </si>
  <si>
    <t>Tambo Memorial Laboratory</t>
  </si>
  <si>
    <t>Taung Laboratory</t>
  </si>
  <si>
    <t>Tembisa Laboratory</t>
  </si>
  <si>
    <t>Tintswalo Laboratory</t>
  </si>
  <si>
    <t>Tshepong Laboratory</t>
  </si>
  <si>
    <t>Tshilidzini Laboratory</t>
  </si>
  <si>
    <t>Tshwane Academic Laboratory</t>
  </si>
  <si>
    <t>Tygerberg Laboratory</t>
  </si>
  <si>
    <t>Umphumulo Laboratory</t>
  </si>
  <si>
    <t>Universitas Academic Laboratory</t>
  </si>
  <si>
    <t>Upington Laboratory</t>
  </si>
  <si>
    <t>Vryheid Laboratory</t>
  </si>
  <si>
    <t>Welkom Laboratory</t>
  </si>
  <si>
    <t>Witbank Laboratory</t>
  </si>
  <si>
    <t>Worcester Laboratory</t>
  </si>
  <si>
    <t>&lt;=100</t>
  </si>
  <si>
    <t>CrAg per day (/21.73)</t>
  </si>
  <si>
    <t>21,73</t>
  </si>
  <si>
    <t>Lab</t>
  </si>
  <si>
    <t>Tests Per Annum</t>
  </si>
  <si>
    <t>Crytococcal LFA Assay</t>
  </si>
  <si>
    <t>Workflow Analysis</t>
  </si>
  <si>
    <t>Per Day</t>
  </si>
  <si>
    <t>2015 Midpoint p/a</t>
  </si>
  <si>
    <t>Annual Equivalent Costs</t>
  </si>
  <si>
    <t>Annual Equivalent Costs including Error rate for staff and reagent costs</t>
  </si>
  <si>
    <t>Costs Summary</t>
  </si>
  <si>
    <t>Cost p/Result</t>
  </si>
  <si>
    <t>Total Time (min) for batch size</t>
  </si>
  <si>
    <t>Review time p/sample</t>
  </si>
  <si>
    <t>Testing Activity</t>
  </si>
  <si>
    <t>Review Activity</t>
  </si>
  <si>
    <t>Testing Time %FTE</t>
  </si>
  <si>
    <t>Review Time %FTE</t>
  </si>
  <si>
    <t>Tambo Memorial base case</t>
  </si>
  <si>
    <t>Quotation</t>
  </si>
  <si>
    <t>NHLS Intranet</t>
  </si>
  <si>
    <t>NHLS Corporate Date Warehouse (CDW)</t>
  </si>
  <si>
    <t>CrAg per annum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</si>
</sst>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&quot;\ #,##0.00;&quot;R&quot;\ \-#,##0.00"/>
    <numFmt numFmtId="43" formatCode="_ * #,##0.00_ ;_ * \-#,##0.00_ ;_ * &quot;-&quot;??_ ;_ @_ "/>
    <numFmt numFmtId="164" formatCode="_ * #,##0_ ;_ * \-#,##0_ ;_ * &quot;-&quot;??_ ;_ @_ "/>
    <numFmt numFmtId="165" formatCode="[$$-409]#,##0.00_ ;\-[$$-409]#,##0.00\ "/>
    <numFmt numFmtId="166" formatCode="_ * #,##0.000_ ;_ * \-#,##0.000_ ;_ * &quot;-&quot;??_ ;_ @_ "/>
    <numFmt numFmtId="167" formatCode="#,##0;\(#,##0\)"/>
    <numFmt numFmtId="185" formatCode="[$$-2409]#,##0.00;\-[$$-2409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0" tint="-0.499984740745262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0" tint="-0.249977111117893"/>
      <name val="Calibri"/>
      <family val="2"/>
      <scheme val="minor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Border="1"/>
    <xf numFmtId="0" fontId="0" fillId="0" borderId="5" xfId="0" applyBorder="1"/>
    <xf numFmtId="0" fontId="4" fillId="0" borderId="5" xfId="0" applyFont="1" applyBorder="1" applyAlignment="1">
      <alignment horizontal="right"/>
    </xf>
    <xf numFmtId="0" fontId="0" fillId="0" borderId="9" xfId="0" applyBorder="1"/>
    <xf numFmtId="164" fontId="0" fillId="0" borderId="9" xfId="1" applyNumberFormat="1" applyFont="1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4" fillId="4" borderId="3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0" borderId="14" xfId="0" applyBorder="1"/>
    <xf numFmtId="0" fontId="4" fillId="4" borderId="14" xfId="0" applyFont="1" applyFill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164" fontId="0" fillId="0" borderId="9" xfId="1" applyNumberFormat="1" applyFont="1" applyBorder="1" applyAlignment="1">
      <alignment horizontal="right" wrapText="1"/>
    </xf>
    <xf numFmtId="164" fontId="0" fillId="0" borderId="9" xfId="1" applyNumberFormat="1" applyFont="1" applyBorder="1" applyAlignment="1">
      <alignment horizontal="left" wrapText="1"/>
    </xf>
    <xf numFmtId="38" fontId="5" fillId="5" borderId="9" xfId="0" applyNumberFormat="1" applyFont="1" applyFill="1" applyBorder="1" applyAlignment="1">
      <alignment horizontal="right"/>
    </xf>
    <xf numFmtId="0" fontId="6" fillId="0" borderId="5" xfId="0" applyFont="1" applyBorder="1"/>
    <xf numFmtId="43" fontId="0" fillId="0" borderId="9" xfId="1" applyFont="1" applyBorder="1"/>
    <xf numFmtId="164" fontId="0" fillId="5" borderId="9" xfId="1" applyNumberFormat="1" applyFont="1" applyFill="1" applyBorder="1" applyAlignment="1">
      <alignment horizontal="left"/>
    </xf>
    <xf numFmtId="0" fontId="0" fillId="0" borderId="9" xfId="0" applyBorder="1" applyAlignment="1">
      <alignment horizontal="right"/>
    </xf>
    <xf numFmtId="2" fontId="0" fillId="0" borderId="9" xfId="0" applyNumberFormat="1" applyBorder="1" applyAlignment="1">
      <alignment horizontal="left"/>
    </xf>
    <xf numFmtId="38" fontId="0" fillId="0" borderId="9" xfId="0" applyNumberFormat="1" applyBorder="1" applyAlignment="1">
      <alignment horizontal="right"/>
    </xf>
    <xf numFmtId="38" fontId="5" fillId="5" borderId="5" xfId="0" applyNumberFormat="1" applyFont="1" applyFill="1" applyBorder="1" applyAlignment="1">
      <alignment horizontal="right"/>
    </xf>
    <xf numFmtId="164" fontId="2" fillId="0" borderId="9" xfId="1" applyNumberFormat="1" applyFont="1" applyBorder="1"/>
    <xf numFmtId="164" fontId="7" fillId="5" borderId="5" xfId="1" applyNumberFormat="1" applyFont="1" applyFill="1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164" fontId="7" fillId="5" borderId="2" xfId="1" applyNumberFormat="1" applyFont="1" applyFill="1" applyBorder="1"/>
    <xf numFmtId="0" fontId="0" fillId="0" borderId="9" xfId="0" applyBorder="1" applyAlignment="1">
      <alignment wrapText="1"/>
    </xf>
    <xf numFmtId="43" fontId="0" fillId="0" borderId="9" xfId="1" applyFont="1" applyBorder="1" applyAlignment="1">
      <alignment wrapText="1"/>
    </xf>
    <xf numFmtId="0" fontId="0" fillId="0" borderId="10" xfId="0" applyBorder="1" applyAlignment="1">
      <alignment horizontal="left" wrapText="1"/>
    </xf>
    <xf numFmtId="165" fontId="0" fillId="0" borderId="9" xfId="1" applyNumberFormat="1" applyFont="1" applyBorder="1"/>
    <xf numFmtId="0" fontId="0" fillId="0" borderId="0" xfId="0" applyAlignment="1"/>
    <xf numFmtId="0" fontId="0" fillId="0" borderId="4" xfId="0" applyBorder="1" applyAlignment="1">
      <alignment wrapText="1"/>
    </xf>
    <xf numFmtId="43" fontId="0" fillId="0" borderId="0" xfId="1" applyFont="1" applyBorder="1" applyAlignment="1">
      <alignment wrapText="1"/>
    </xf>
    <xf numFmtId="43" fontId="0" fillId="0" borderId="0" xfId="1" applyFont="1" applyBorder="1"/>
    <xf numFmtId="3" fontId="9" fillId="6" borderId="9" xfId="2" applyNumberFormat="1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0" fillId="0" borderId="4" xfId="0" applyFill="1" applyBorder="1" applyAlignment="1"/>
    <xf numFmtId="0" fontId="2" fillId="0" borderId="1" xfId="0" applyFont="1" applyBorder="1" applyAlignment="1"/>
    <xf numFmtId="43" fontId="2" fillId="0" borderId="3" xfId="0" applyNumberFormat="1" applyFont="1" applyBorder="1" applyAlignment="1"/>
    <xf numFmtId="0" fontId="2" fillId="0" borderId="12" xfId="0" applyFont="1" applyBorder="1" applyAlignment="1"/>
    <xf numFmtId="9" fontId="0" fillId="0" borderId="0" xfId="4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/>
    </xf>
    <xf numFmtId="43" fontId="0" fillId="0" borderId="4" xfId="1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" xfId="0" applyFont="1" applyBorder="1" applyAlignment="1">
      <alignment wrapText="1"/>
    </xf>
    <xf numFmtId="43" fontId="0" fillId="0" borderId="5" xfId="0" applyNumberFormat="1" applyBorder="1" applyAlignment="1"/>
    <xf numFmtId="0" fontId="0" fillId="0" borderId="0" xfId="0" applyAlignment="1">
      <alignment horizontal="center"/>
    </xf>
    <xf numFmtId="1" fontId="0" fillId="0" borderId="9" xfId="0" applyNumberFormat="1" applyBorder="1"/>
    <xf numFmtId="0" fontId="0" fillId="0" borderId="0" xfId="0" applyFill="1" applyBorder="1"/>
    <xf numFmtId="0" fontId="0" fillId="8" borderId="9" xfId="0" applyFill="1" applyBorder="1" applyAlignment="1">
      <alignment horizontal="left" wrapText="1"/>
    </xf>
    <xf numFmtId="1" fontId="0" fillId="0" borderId="9" xfId="0" applyNumberFormat="1" applyBorder="1" applyAlignment="1">
      <alignment wrapText="1"/>
    </xf>
    <xf numFmtId="0" fontId="4" fillId="5" borderId="0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43" fontId="4" fillId="5" borderId="5" xfId="1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left" wrapText="1"/>
    </xf>
    <xf numFmtId="164" fontId="0" fillId="0" borderId="0" xfId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43" fontId="2" fillId="0" borderId="0" xfId="1" applyNumberFormat="1" applyFont="1" applyBorder="1" applyAlignment="1">
      <alignment horizontal="left"/>
    </xf>
    <xf numFmtId="43" fontId="2" fillId="0" borderId="5" xfId="1" applyNumberFormat="1" applyFont="1" applyBorder="1" applyAlignment="1">
      <alignment horizontal="left"/>
    </xf>
    <xf numFmtId="43" fontId="0" fillId="0" borderId="5" xfId="1" applyFont="1" applyBorder="1" applyAlignment="1"/>
    <xf numFmtId="164" fontId="0" fillId="0" borderId="6" xfId="1" applyNumberFormat="1" applyFont="1" applyBorder="1" applyAlignment="1">
      <alignment horizontal="left" wrapText="1"/>
    </xf>
    <xf numFmtId="164" fontId="0" fillId="0" borderId="7" xfId="1" applyNumberFormat="1" applyFont="1" applyBorder="1" applyAlignment="1">
      <alignment horizontal="left"/>
    </xf>
    <xf numFmtId="164" fontId="2" fillId="0" borderId="7" xfId="1" applyNumberFormat="1" applyFont="1" applyBorder="1" applyAlignment="1">
      <alignment horizontal="left"/>
    </xf>
    <xf numFmtId="43" fontId="2" fillId="0" borderId="8" xfId="1" applyNumberFormat="1" applyFont="1" applyBorder="1" applyAlignment="1">
      <alignment horizontal="left"/>
    </xf>
    <xf numFmtId="166" fontId="0" fillId="0" borderId="9" xfId="0" applyNumberFormat="1" applyBorder="1"/>
    <xf numFmtId="43" fontId="10" fillId="0" borderId="9" xfId="1" applyFont="1" applyFill="1" applyBorder="1" applyAlignment="1">
      <alignment horizontal="right" vertical="center" wrapText="1"/>
    </xf>
    <xf numFmtId="164" fontId="0" fillId="4" borderId="0" xfId="1" applyNumberFormat="1" applyFont="1" applyFill="1" applyBorder="1"/>
    <xf numFmtId="0" fontId="0" fillId="0" borderId="0" xfId="0" applyAlignment="1">
      <alignment vertical="center"/>
    </xf>
    <xf numFmtId="0" fontId="0" fillId="5" borderId="9" xfId="0" applyFill="1" applyBorder="1" applyAlignment="1">
      <alignment vertical="center"/>
    </xf>
    <xf numFmtId="1" fontId="0" fillId="5" borderId="9" xfId="0" applyNumberForma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12" borderId="15" xfId="0" applyFont="1" applyFill="1" applyBorder="1" applyAlignment="1">
      <alignment horizontal="left" vertical="center" wrapText="1"/>
    </xf>
    <xf numFmtId="0" fontId="17" fillId="12" borderId="15" xfId="0" applyFont="1" applyFill="1" applyBorder="1" applyAlignment="1">
      <alignment horizontal="center" wrapText="1"/>
    </xf>
    <xf numFmtId="0" fontId="17" fillId="12" borderId="16" xfId="0" applyFont="1" applyFill="1" applyBorder="1" applyAlignment="1">
      <alignment horizontal="center"/>
    </xf>
    <xf numFmtId="167" fontId="19" fillId="13" borderId="17" xfId="0" applyNumberFormat="1" applyFont="1" applyFill="1" applyBorder="1" applyAlignment="1">
      <alignment horizontal="right" vertical="center"/>
    </xf>
    <xf numFmtId="167" fontId="17" fillId="14" borderId="18" xfId="0" applyNumberFormat="1" applyFont="1" applyFill="1" applyBorder="1" applyAlignment="1">
      <alignment horizontal="right" vertical="center"/>
    </xf>
    <xf numFmtId="167" fontId="17" fillId="14" borderId="17" xfId="0" applyNumberFormat="1" applyFont="1" applyFill="1" applyBorder="1" applyAlignment="1">
      <alignment horizontal="right" vertical="center"/>
    </xf>
    <xf numFmtId="0" fontId="17" fillId="12" borderId="19" xfId="0" applyFont="1" applyFill="1" applyBorder="1" applyAlignment="1">
      <alignment horizontal="center" wrapText="1"/>
    </xf>
    <xf numFmtId="0" fontId="18" fillId="13" borderId="17" xfId="0" applyFont="1" applyFill="1" applyBorder="1" applyAlignment="1">
      <alignment horizontal="left" vertical="center" wrapText="1"/>
    </xf>
    <xf numFmtId="0" fontId="17" fillId="14" borderId="17" xfId="0" applyFont="1" applyFill="1" applyBorder="1" applyAlignment="1">
      <alignment horizontal="left" vertical="center"/>
    </xf>
    <xf numFmtId="1" fontId="0" fillId="0" borderId="0" xfId="0" applyNumberFormat="1" applyBorder="1"/>
    <xf numFmtId="1" fontId="0" fillId="10" borderId="9" xfId="0" applyNumberFormat="1" applyFill="1" applyBorder="1" applyAlignment="1">
      <alignment horizontal="center" vertical="center"/>
    </xf>
    <xf numFmtId="1" fontId="0" fillId="11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2" xfId="0" applyFill="1" applyBorder="1" applyAlignment="1">
      <alignment horizontal="right"/>
    </xf>
    <xf numFmtId="1" fontId="0" fillId="5" borderId="0" xfId="0" applyNumberFormat="1" applyFill="1" applyBorder="1"/>
    <xf numFmtId="0" fontId="0" fillId="9" borderId="9" xfId="0" applyFill="1" applyBorder="1"/>
    <xf numFmtId="0" fontId="0" fillId="3" borderId="20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164" fontId="0" fillId="0" borderId="20" xfId="1" applyNumberFormat="1" applyFont="1" applyBorder="1" applyAlignment="1">
      <alignment horizontal="left" wrapText="1"/>
    </xf>
    <xf numFmtId="164" fontId="0" fillId="0" borderId="21" xfId="1" applyNumberFormat="1" applyFont="1" applyBorder="1" applyAlignment="1">
      <alignment horizontal="left"/>
    </xf>
    <xf numFmtId="164" fontId="2" fillId="0" borderId="21" xfId="1" applyNumberFormat="1" applyFont="1" applyBorder="1" applyAlignment="1">
      <alignment horizontal="left"/>
    </xf>
    <xf numFmtId="43" fontId="2" fillId="0" borderId="22" xfId="1" applyNumberFormat="1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center" vertical="center"/>
    </xf>
    <xf numFmtId="0" fontId="0" fillId="0" borderId="4" xfId="0" applyBorder="1"/>
    <xf numFmtId="1" fontId="0" fillId="0" borderId="5" xfId="0" applyNumberFormat="1" applyBorder="1"/>
    <xf numFmtId="0" fontId="0" fillId="0" borderId="13" xfId="0" applyBorder="1"/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3" fontId="4" fillId="5" borderId="0" xfId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7" fontId="0" fillId="7" borderId="9" xfId="0" applyNumberFormat="1" applyFill="1" applyBorder="1"/>
    <xf numFmtId="185" fontId="0" fillId="7" borderId="9" xfId="0" applyNumberFormat="1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5" borderId="4" xfId="0" applyFill="1" applyBorder="1" applyAlignment="1">
      <alignment wrapText="1"/>
    </xf>
    <xf numFmtId="0" fontId="2" fillId="0" borderId="13" xfId="0" applyFont="1" applyBorder="1" applyAlignment="1"/>
    <xf numFmtId="0" fontId="0" fillId="0" borderId="5" xfId="0" applyBorder="1" applyAlignment="1">
      <alignment horizontal="right"/>
    </xf>
    <xf numFmtId="1" fontId="0" fillId="0" borderId="5" xfId="0" applyNumberFormat="1" applyBorder="1" applyAlignment="1"/>
    <xf numFmtId="0" fontId="0" fillId="0" borderId="13" xfId="0" applyBorder="1" applyAlignment="1"/>
    <xf numFmtId="0" fontId="2" fillId="3" borderId="6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43" fontId="0" fillId="0" borderId="3" xfId="1" applyFont="1" applyBorder="1" applyAlignment="1"/>
    <xf numFmtId="166" fontId="0" fillId="5" borderId="0" xfId="1" applyNumberFormat="1" applyFont="1" applyFill="1" applyBorder="1" applyAlignment="1"/>
    <xf numFmtId="0" fontId="2" fillId="4" borderId="12" xfId="0" applyFont="1" applyFill="1" applyBorder="1" applyAlignment="1"/>
    <xf numFmtId="166" fontId="2" fillId="4" borderId="13" xfId="1" applyNumberFormat="1" applyFont="1" applyFill="1" applyBorder="1" applyAlignment="1"/>
    <xf numFmtId="0" fontId="2" fillId="3" borderId="9" xfId="0" applyFont="1" applyFill="1" applyBorder="1" applyAlignment="1">
      <alignment wrapText="1"/>
    </xf>
    <xf numFmtId="43" fontId="0" fillId="3" borderId="9" xfId="1" applyFont="1" applyFill="1" applyBorder="1" applyAlignment="1">
      <alignment wrapText="1"/>
    </xf>
    <xf numFmtId="0" fontId="2" fillId="3" borderId="9" xfId="0" applyFont="1" applyFill="1" applyBorder="1"/>
    <xf numFmtId="43" fontId="2" fillId="3" borderId="9" xfId="1" applyFont="1" applyFill="1" applyBorder="1"/>
    <xf numFmtId="164" fontId="2" fillId="3" borderId="9" xfId="1" applyNumberFormat="1" applyFont="1" applyFill="1" applyBorder="1"/>
    <xf numFmtId="38" fontId="7" fillId="3" borderId="9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2" fontId="2" fillId="3" borderId="9" xfId="0" applyNumberFormat="1" applyFont="1" applyFill="1" applyBorder="1" applyAlignment="1">
      <alignment horizontal="left"/>
    </xf>
    <xf numFmtId="164" fontId="7" fillId="3" borderId="9" xfId="1" applyNumberFormat="1" applyFont="1" applyFill="1" applyBorder="1"/>
    <xf numFmtId="0" fontId="2" fillId="3" borderId="9" xfId="0" applyFont="1" applyFill="1" applyBorder="1" applyAlignment="1">
      <alignment horizontal="left" wrapText="1"/>
    </xf>
    <xf numFmtId="3" fontId="2" fillId="3" borderId="9" xfId="0" applyNumberFormat="1" applyFont="1" applyFill="1" applyBorder="1" applyAlignment="1">
      <alignment horizontal="left"/>
    </xf>
    <xf numFmtId="164" fontId="2" fillId="3" borderId="9" xfId="1" applyNumberFormat="1" applyFont="1" applyFill="1" applyBorder="1" applyAlignment="1">
      <alignment horizontal="left" wrapText="1"/>
    </xf>
    <xf numFmtId="0" fontId="0" fillId="3" borderId="9" xfId="0" applyFill="1" applyBorder="1"/>
    <xf numFmtId="0" fontId="23" fillId="10" borderId="20" xfId="0" applyFont="1" applyFill="1" applyBorder="1" applyAlignment="1">
      <alignment horizontal="center" wrapText="1"/>
    </xf>
    <xf numFmtId="0" fontId="23" fillId="10" borderId="21" xfId="0" applyFont="1" applyFill="1" applyBorder="1" applyAlignment="1">
      <alignment horizontal="center" wrapText="1"/>
    </xf>
    <xf numFmtId="0" fontId="23" fillId="10" borderId="22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13" fillId="0" borderId="4" xfId="1" applyNumberFormat="1" applyFont="1" applyBorder="1" applyAlignment="1">
      <alignment horizontal="left"/>
    </xf>
    <xf numFmtId="164" fontId="13" fillId="0" borderId="0" xfId="1" applyNumberFormat="1" applyFont="1" applyBorder="1" applyAlignment="1">
      <alignment horizontal="left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2" xfId="5"/>
    <cellStyle name="Normal 3" xfId="2"/>
    <cellStyle name="Normal 4" xfId="3"/>
    <cellStyle name="Percent" xfId="4" builtinId="5"/>
    <cellStyle name="Titl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217450</xdr:colOff>
      <xdr:row>34</xdr:row>
      <xdr:rowOff>27661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0"/>
          <a:ext cx="8751850" cy="65046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eem.cassim/Documents/a%20NPP%20Unit/CD4%20Unit/2015%20CraG%20LFA%20Costing/LFA%20Tambo%20Model%20AJLM%20Paper/LFA%20Crypto%20Costing%20Paper%20TMH%2013%201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"/>
      <sheetName val="Price Analysis"/>
      <sheetName val="pVols"/>
      <sheetName val="MC"/>
      <sheetName val="old_Figure 3"/>
      <sheetName val="Figure 2"/>
      <sheetName val="Figure 1"/>
      <sheetName val="Table 3"/>
      <sheetName val="Table 2"/>
      <sheetName val="Table 1"/>
      <sheetName val="Analysis"/>
      <sheetName val="LFA_BaseCase"/>
      <sheetName val="EIA Costing"/>
      <sheetName val="LFA_Err3%"/>
      <sheetName val="LFA_Err5%"/>
      <sheetName val="LFA_Err8%"/>
      <sheetName val="LFA_Kit-10%"/>
      <sheetName val="LFA_Kit-20%"/>
      <sheetName val="LFA_Kit+10%"/>
      <sheetName val="LFA_Kit+20%"/>
      <sheetName val="LFA_1FTE"/>
      <sheetName val="LFA+10%Vols"/>
      <sheetName val="LFA+20%Vols"/>
      <sheetName val="LFA+30%Vols"/>
      <sheetName val="LFA+60%Vols"/>
      <sheetName val="LFA+90%Vols"/>
      <sheetName val="LFA_-10%Vols"/>
      <sheetName val="LFA_-20%Vols"/>
      <sheetName val="LFA_-30%Vols"/>
      <sheetName val="LFA_-60%Vols"/>
      <sheetName val="LFA_Kit-90%"/>
      <sheetName val="LFA Costing Nurse"/>
      <sheetName val="LFA Costing Nurse Low Vols"/>
      <sheetName val="Ref0_DPSA Scales"/>
      <sheetName val="R4_Vols"/>
      <sheetName val="EIA Costing_SitePurch"/>
      <sheetName val="R1 Wflow"/>
      <sheetName val="R2 Costs_1"/>
      <sheetName val="R2_Costs_2"/>
      <sheetName val="R3 Costs_3"/>
      <sheetName val="R3 Costs 4 Hain EIa"/>
      <sheetName val="R5_CTC"/>
      <sheetName val="R6 Equipment"/>
      <sheetName val="R7_Reagent Costs"/>
      <sheetName val="R8-Equip"/>
      <sheetName val="R11_Lab Vols"/>
      <sheetName val="R12_Costs"/>
      <sheetName val="R13_ER"/>
      <sheetName val="R14 UNAIDS"/>
      <sheetName val="R14_Daily vols SD"/>
    </sheetNames>
    <sheetDataSet>
      <sheetData sheetId="2"/>
      <sheetData sheetId="3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5">
          <cell r="P5">
            <v>13.696</v>
          </cell>
        </row>
      </sheetData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63"/>
  <sheetViews>
    <sheetView showGridLines="0" zoomScale="90" zoomScaleNormal="90" workbookViewId="0">
      <selection sqref="A1:I1"/>
    </sheetView>
  </sheetViews>
  <sheetFormatPr defaultRowHeight="15" customHeight="1" x14ac:dyDescent="0.25"/>
  <cols>
    <col min="1" max="1" width="46.85546875" style="58" bestFit="1" customWidth="1"/>
    <col min="2" max="2" width="26.42578125" bestFit="1" customWidth="1"/>
    <col min="3" max="3" width="19.85546875" bestFit="1" customWidth="1"/>
    <col min="4" max="4" width="15.5703125" bestFit="1" customWidth="1"/>
    <col min="5" max="5" width="17.85546875" bestFit="1" customWidth="1"/>
    <col min="6" max="6" width="19.7109375" bestFit="1" customWidth="1"/>
    <col min="7" max="7" width="21.7109375" bestFit="1" customWidth="1"/>
    <col min="8" max="8" width="15.5703125" bestFit="1" customWidth="1"/>
    <col min="9" max="9" width="11.28515625" bestFit="1" customWidth="1"/>
    <col min="11" max="11" width="26.7109375" bestFit="1" customWidth="1"/>
    <col min="12" max="12" width="29.85546875" customWidth="1"/>
    <col min="13" max="13" width="8.28515625" bestFit="1" customWidth="1"/>
    <col min="14" max="14" width="10.28515625" bestFit="1" customWidth="1"/>
  </cols>
  <sheetData>
    <row r="1" spans="1:12" ht="15" customHeight="1" x14ac:dyDescent="0.3">
      <c r="A1" s="181" t="s">
        <v>207</v>
      </c>
      <c r="B1" s="182"/>
      <c r="C1" s="182"/>
      <c r="D1" s="182"/>
      <c r="E1" s="182"/>
      <c r="F1" s="182"/>
      <c r="G1" s="182"/>
      <c r="H1" s="182"/>
      <c r="I1" s="183"/>
    </row>
    <row r="2" spans="1:12" ht="15" customHeight="1" x14ac:dyDescent="0.25">
      <c r="A2" s="41" t="s">
        <v>195</v>
      </c>
      <c r="B2" s="118">
        <f>+Ref1_TMH_Volumes!C3</f>
        <v>106</v>
      </c>
      <c r="C2" s="1"/>
      <c r="D2" s="1"/>
      <c r="E2" s="1"/>
      <c r="F2" s="1"/>
      <c r="G2" s="1"/>
      <c r="H2" s="1"/>
      <c r="I2" s="2"/>
    </row>
    <row r="3" spans="1:12" ht="15" customHeight="1" x14ac:dyDescent="0.25">
      <c r="A3" s="41" t="s">
        <v>191</v>
      </c>
      <c r="B3" s="4" t="str">
        <f>+Ref1_TMH_Volumes!B3</f>
        <v>Tambo Memorial</v>
      </c>
      <c r="C3" s="1"/>
      <c r="D3" s="109" t="s">
        <v>200</v>
      </c>
      <c r="E3" s="1"/>
      <c r="F3" s="1"/>
      <c r="G3" s="1"/>
      <c r="H3" s="1"/>
      <c r="I3" s="2"/>
    </row>
    <row r="4" spans="1:12" ht="15" customHeight="1" x14ac:dyDescent="0.25">
      <c r="A4" s="41" t="s">
        <v>192</v>
      </c>
      <c r="B4" s="65">
        <f>+Ref1_TMH_Volumes!E3</f>
        <v>27579</v>
      </c>
      <c r="C4" s="1"/>
      <c r="D4" s="140">
        <f>+H61</f>
        <v>58.641977768680434</v>
      </c>
      <c r="E4" s="1"/>
      <c r="F4" s="1"/>
      <c r="G4" s="1"/>
      <c r="H4" s="1"/>
      <c r="I4" s="2"/>
    </row>
    <row r="5" spans="1:12" ht="15" customHeight="1" x14ac:dyDescent="0.25">
      <c r="A5" s="41"/>
      <c r="B5" s="103"/>
      <c r="C5" s="103"/>
      <c r="D5" s="141">
        <f>+D4/ERD</f>
        <v>4.2816864609141669</v>
      </c>
      <c r="E5" s="103"/>
      <c r="F5" s="103"/>
      <c r="G5" s="1"/>
      <c r="H5" s="1"/>
      <c r="I5" s="2"/>
    </row>
    <row r="6" spans="1:12" ht="15" customHeight="1" x14ac:dyDescent="0.25">
      <c r="A6" s="157"/>
      <c r="B6" s="108"/>
      <c r="C6" s="1"/>
      <c r="D6" s="1"/>
      <c r="E6" s="1"/>
      <c r="F6" s="1"/>
      <c r="G6" s="1"/>
      <c r="H6" s="1"/>
      <c r="I6" s="2"/>
    </row>
    <row r="7" spans="1:12" ht="15" customHeight="1" x14ac:dyDescent="0.25">
      <c r="A7" s="61"/>
      <c r="B7" s="12"/>
      <c r="C7" s="12"/>
      <c r="D7" s="12"/>
      <c r="E7" s="12"/>
      <c r="F7" s="12"/>
      <c r="G7" s="12"/>
      <c r="H7" s="12"/>
      <c r="I7" s="121"/>
    </row>
    <row r="8" spans="1:12" ht="15" customHeight="1" x14ac:dyDescent="0.3">
      <c r="A8" s="184" t="s">
        <v>193</v>
      </c>
      <c r="B8" s="185"/>
      <c r="C8" s="185"/>
      <c r="D8" s="185"/>
      <c r="E8" s="185"/>
      <c r="F8" s="185"/>
      <c r="G8" s="185"/>
      <c r="H8" s="185"/>
      <c r="I8" s="186"/>
      <c r="K8" s="122" t="s">
        <v>194</v>
      </c>
      <c r="L8" s="123"/>
    </row>
    <row r="9" spans="1:12" ht="15" customHeight="1" x14ac:dyDescent="0.25">
      <c r="A9" s="60"/>
      <c r="B9" s="1"/>
      <c r="C9" s="1"/>
      <c r="D9" s="1"/>
      <c r="E9" s="1"/>
      <c r="F9" s="1"/>
      <c r="G9" s="1"/>
      <c r="H9" s="1"/>
      <c r="I9" s="2"/>
      <c r="K9" s="48"/>
      <c r="L9" s="159"/>
    </row>
    <row r="10" spans="1:12" ht="15" customHeight="1" x14ac:dyDescent="0.25">
      <c r="A10" s="124" t="s">
        <v>0</v>
      </c>
      <c r="B10" s="125"/>
      <c r="C10" s="125"/>
      <c r="D10" s="125"/>
      <c r="E10" s="125"/>
      <c r="F10" s="125"/>
      <c r="G10" s="125"/>
      <c r="H10" s="125"/>
      <c r="I10" s="126"/>
      <c r="K10" s="48" t="s">
        <v>53</v>
      </c>
      <c r="L10" s="160">
        <f>+B2</f>
        <v>106</v>
      </c>
    </row>
    <row r="11" spans="1:12" ht="15" customHeight="1" x14ac:dyDescent="0.25">
      <c r="A11" s="57"/>
      <c r="B11" s="15"/>
      <c r="C11" s="15"/>
      <c r="D11" s="15"/>
      <c r="E11" s="15"/>
      <c r="F11" s="70"/>
      <c r="G11" s="71"/>
      <c r="H11" s="71"/>
      <c r="I11" s="72"/>
      <c r="K11" s="48"/>
      <c r="L11" s="49"/>
    </row>
    <row r="12" spans="1:12" ht="15" customHeight="1" x14ac:dyDescent="0.25">
      <c r="A12" s="41" t="s">
        <v>68</v>
      </c>
      <c r="B12" s="65" t="str">
        <f>+B3</f>
        <v>Tambo Memorial</v>
      </c>
      <c r="C12" s="1"/>
      <c r="D12" s="1"/>
      <c r="E12" s="1"/>
      <c r="F12" s="59"/>
      <c r="G12" s="135"/>
      <c r="H12" s="135"/>
      <c r="I12" s="73"/>
      <c r="K12" s="50"/>
      <c r="L12" s="161"/>
    </row>
    <row r="13" spans="1:12" ht="15" customHeight="1" x14ac:dyDescent="0.25">
      <c r="A13" s="41"/>
      <c r="B13" s="1"/>
      <c r="C13" s="1"/>
      <c r="D13" s="1"/>
      <c r="E13" s="1"/>
      <c r="F13" s="59"/>
      <c r="G13" s="69"/>
      <c r="H13" s="69"/>
      <c r="I13" s="74"/>
      <c r="K13" s="162" t="s">
        <v>203</v>
      </c>
      <c r="L13" s="163" t="s">
        <v>201</v>
      </c>
    </row>
    <row r="14" spans="1:12" ht="15" customHeight="1" x14ac:dyDescent="0.25">
      <c r="A14" s="41" t="s">
        <v>33</v>
      </c>
      <c r="B14" s="65">
        <f>+B4</f>
        <v>27579</v>
      </c>
      <c r="C14" s="187" t="s">
        <v>210</v>
      </c>
      <c r="D14" s="188"/>
      <c r="E14" s="103"/>
      <c r="F14" s="134"/>
      <c r="G14" s="134"/>
      <c r="H14" s="134"/>
      <c r="I14" s="3"/>
      <c r="K14" s="48" t="s">
        <v>54</v>
      </c>
      <c r="L14" s="80">
        <v>7.0666666666666664</v>
      </c>
    </row>
    <row r="15" spans="1:12" ht="15" customHeight="1" x14ac:dyDescent="0.25">
      <c r="A15" s="41" t="s">
        <v>1</v>
      </c>
      <c r="B15" s="7">
        <v>5</v>
      </c>
      <c r="C15" s="1"/>
      <c r="D15" s="1"/>
      <c r="E15" s="1"/>
      <c r="F15" s="59"/>
      <c r="G15" s="59"/>
      <c r="H15" s="59"/>
      <c r="I15" s="3"/>
      <c r="K15" s="52" t="s">
        <v>55</v>
      </c>
      <c r="L15" s="80">
        <v>35.333333333333329</v>
      </c>
    </row>
    <row r="16" spans="1:12" ht="15" customHeight="1" x14ac:dyDescent="0.25">
      <c r="A16" s="41" t="s">
        <v>2</v>
      </c>
      <c r="B16" s="8">
        <v>0.04</v>
      </c>
      <c r="C16" s="1"/>
      <c r="D16" s="1"/>
      <c r="E16" s="1"/>
      <c r="F16" s="59"/>
      <c r="G16" s="59"/>
      <c r="H16" s="59"/>
      <c r="I16" s="3"/>
      <c r="K16" s="52" t="s">
        <v>56</v>
      </c>
      <c r="L16" s="80">
        <v>35.333333333333329</v>
      </c>
    </row>
    <row r="17" spans="1:14" ht="15" customHeight="1" x14ac:dyDescent="0.25">
      <c r="A17" s="41"/>
      <c r="B17" s="1"/>
      <c r="C17" s="1"/>
      <c r="D17" s="43"/>
      <c r="E17" s="66"/>
      <c r="F17" s="132" t="s">
        <v>3</v>
      </c>
      <c r="G17" s="133"/>
      <c r="H17" s="107" t="s">
        <v>190</v>
      </c>
      <c r="I17" s="9"/>
      <c r="K17" s="48" t="s">
        <v>57</v>
      </c>
      <c r="L17" s="80">
        <v>53</v>
      </c>
    </row>
    <row r="18" spans="1:14" ht="15" customHeight="1" x14ac:dyDescent="0.25">
      <c r="A18" s="41" t="s">
        <v>4</v>
      </c>
      <c r="B18" s="1"/>
      <c r="C18" s="1"/>
      <c r="D18" s="1"/>
      <c r="E18" s="1"/>
      <c r="F18" s="128" t="s">
        <v>82</v>
      </c>
      <c r="G18" s="129"/>
      <c r="H18" s="87">
        <v>12</v>
      </c>
      <c r="I18" s="10"/>
      <c r="K18" s="48" t="s">
        <v>58</v>
      </c>
      <c r="L18" s="80">
        <v>53</v>
      </c>
    </row>
    <row r="19" spans="1:14" ht="15" customHeight="1" x14ac:dyDescent="0.25">
      <c r="A19" s="41" t="s">
        <v>5</v>
      </c>
      <c r="B19" s="1"/>
      <c r="C19" s="127" t="s">
        <v>6</v>
      </c>
      <c r="D19" s="127"/>
      <c r="E19" s="1">
        <v>1.01</v>
      </c>
      <c r="F19" s="128"/>
      <c r="G19" s="129"/>
      <c r="H19" s="11"/>
      <c r="I19" s="10"/>
      <c r="K19" s="48" t="s">
        <v>59</v>
      </c>
      <c r="L19" s="80">
        <v>15.899999999999999</v>
      </c>
    </row>
    <row r="20" spans="1:14" ht="15" customHeight="1" x14ac:dyDescent="0.25">
      <c r="A20" s="61"/>
      <c r="B20" s="12"/>
      <c r="C20" s="12"/>
      <c r="D20" s="12"/>
      <c r="E20" s="12"/>
      <c r="F20" s="130"/>
      <c r="G20" s="131"/>
      <c r="H20" s="13"/>
      <c r="I20" s="14"/>
      <c r="K20" s="48" t="s">
        <v>60</v>
      </c>
      <c r="L20" s="80">
        <v>10</v>
      </c>
    </row>
    <row r="21" spans="1:14" ht="15" customHeight="1" x14ac:dyDescent="0.25">
      <c r="A21" s="189" t="s">
        <v>7</v>
      </c>
      <c r="B21" s="190"/>
      <c r="C21" s="190"/>
      <c r="D21" s="190"/>
      <c r="E21" s="190"/>
      <c r="F21" s="190"/>
      <c r="G21" s="190"/>
      <c r="H21" s="190"/>
      <c r="I21" s="191"/>
      <c r="K21" s="48" t="s">
        <v>61</v>
      </c>
      <c r="L21" s="80">
        <v>35.333333333333329</v>
      </c>
    </row>
    <row r="22" spans="1:14" ht="15" customHeight="1" x14ac:dyDescent="0.25">
      <c r="A22" s="57"/>
      <c r="B22" s="15"/>
      <c r="C22" s="15"/>
      <c r="D22" s="15"/>
      <c r="E22" s="15"/>
      <c r="F22" s="15"/>
      <c r="G22" s="15"/>
      <c r="H22" s="15"/>
      <c r="I22" s="6"/>
      <c r="K22" s="48" t="s">
        <v>62</v>
      </c>
      <c r="L22" s="80">
        <v>35.333333333333329</v>
      </c>
    </row>
    <row r="23" spans="1:14" s="58" customFormat="1" ht="30.75" customHeight="1" x14ac:dyDescent="0.25">
      <c r="A23" s="67" t="s">
        <v>8</v>
      </c>
      <c r="B23" s="67" t="s">
        <v>9</v>
      </c>
      <c r="C23" s="67" t="s">
        <v>10</v>
      </c>
      <c r="D23" s="67" t="s">
        <v>71</v>
      </c>
      <c r="E23" s="67" t="s">
        <v>11</v>
      </c>
      <c r="F23" s="67" t="s">
        <v>12</v>
      </c>
      <c r="G23" s="67" t="s">
        <v>71</v>
      </c>
      <c r="H23" s="67" t="s">
        <v>13</v>
      </c>
      <c r="I23" s="18"/>
      <c r="K23" s="48" t="s">
        <v>63</v>
      </c>
      <c r="L23" s="80">
        <v>35.333333333333329</v>
      </c>
    </row>
    <row r="24" spans="1:14" ht="15" customHeight="1" x14ac:dyDescent="0.25">
      <c r="A24" s="17" t="s">
        <v>72</v>
      </c>
      <c r="B24" s="17">
        <v>1</v>
      </c>
      <c r="C24" s="17" t="s">
        <v>14</v>
      </c>
      <c r="D24" s="19">
        <f>+Ref3_Lab_Staff_Cost!B3</f>
        <v>338784.14</v>
      </c>
      <c r="E24" s="20">
        <f t="shared" ref="E24:E25" si="0">+D24*B24</f>
        <v>338784.14</v>
      </c>
      <c r="F24" s="85">
        <f>+L33</f>
        <v>0.77934156378600805</v>
      </c>
      <c r="G24" s="5">
        <f>+E24*F24</f>
        <v>264028.56145349791</v>
      </c>
      <c r="H24" s="21" t="s">
        <v>209</v>
      </c>
      <c r="I24" s="22" t="s">
        <v>15</v>
      </c>
      <c r="K24" s="48"/>
      <c r="L24" s="49"/>
    </row>
    <row r="25" spans="1:14" ht="15" customHeight="1" x14ac:dyDescent="0.25">
      <c r="A25" s="17" t="s">
        <v>73</v>
      </c>
      <c r="B25" s="17">
        <v>1</v>
      </c>
      <c r="C25" s="17" t="s">
        <v>17</v>
      </c>
      <c r="D25" s="19">
        <f>+Ref3_Lab_Staff_Cost!B4</f>
        <v>656827.16</v>
      </c>
      <c r="E25" s="20">
        <f t="shared" si="0"/>
        <v>656827.16</v>
      </c>
      <c r="F25" s="85">
        <f>+L40</f>
        <v>0.2617283950617284</v>
      </c>
      <c r="G25" s="5">
        <f>+E25*F25</f>
        <v>171910.31841975311</v>
      </c>
      <c r="H25" s="21" t="s">
        <v>209</v>
      </c>
      <c r="I25" s="22" t="s">
        <v>15</v>
      </c>
      <c r="K25" s="53" t="s">
        <v>34</v>
      </c>
      <c r="L25" s="54">
        <f>SUM(L14:L23)</f>
        <v>315.63333333333327</v>
      </c>
    </row>
    <row r="26" spans="1:14" ht="15" customHeight="1" x14ac:dyDescent="0.25">
      <c r="A26" s="17"/>
      <c r="B26" s="17"/>
      <c r="C26" s="17"/>
      <c r="D26" s="17"/>
      <c r="E26" s="17"/>
      <c r="F26" s="4"/>
      <c r="G26" s="4"/>
      <c r="H26" s="4"/>
      <c r="I26" s="2"/>
      <c r="K26" s="55" t="s">
        <v>35</v>
      </c>
      <c r="L26" s="158"/>
    </row>
    <row r="27" spans="1:14" ht="15" customHeight="1" x14ac:dyDescent="0.25">
      <c r="A27" s="17"/>
      <c r="B27" s="17"/>
      <c r="C27" s="17"/>
      <c r="D27" s="17"/>
      <c r="E27" s="17"/>
      <c r="F27" s="4"/>
      <c r="G27" s="4"/>
      <c r="H27" s="4"/>
      <c r="I27" s="2"/>
      <c r="K27" s="40"/>
      <c r="L27" s="40"/>
      <c r="M27" s="40"/>
      <c r="N27" s="40"/>
    </row>
    <row r="28" spans="1:14" ht="15" customHeight="1" x14ac:dyDescent="0.25">
      <c r="A28" s="177" t="s">
        <v>18</v>
      </c>
      <c r="B28" s="174"/>
      <c r="C28" s="178"/>
      <c r="D28" s="178"/>
      <c r="E28" s="179">
        <f>SUM(E24:E27)</f>
        <v>995611.3</v>
      </c>
      <c r="F28" s="179">
        <f>SUM(F24:F27)</f>
        <v>1.0410699588477366</v>
      </c>
      <c r="G28" s="179">
        <f>SUM(G24:G27)</f>
        <v>435938.87987325102</v>
      </c>
      <c r="H28" s="180"/>
      <c r="I28" s="2"/>
      <c r="K28" s="46" t="s">
        <v>64</v>
      </c>
      <c r="L28" s="47">
        <f>8*60</f>
        <v>480</v>
      </c>
      <c r="M28" s="40"/>
      <c r="N28" s="40"/>
    </row>
    <row r="29" spans="1:14" ht="15" customHeight="1" x14ac:dyDescent="0.25">
      <c r="A29" s="41"/>
      <c r="B29" s="1"/>
      <c r="C29" s="1"/>
      <c r="D29" s="1"/>
      <c r="E29" s="1"/>
      <c r="F29" s="1"/>
      <c r="G29" s="1"/>
      <c r="H29" s="1"/>
      <c r="I29" s="2"/>
      <c r="K29" s="48" t="s">
        <v>77</v>
      </c>
      <c r="L29" s="49">
        <f>+L28-75</f>
        <v>405</v>
      </c>
      <c r="M29" s="40"/>
      <c r="N29" s="40"/>
    </row>
    <row r="30" spans="1:14" ht="15" customHeight="1" x14ac:dyDescent="0.25">
      <c r="A30" s="189" t="s">
        <v>19</v>
      </c>
      <c r="B30" s="190"/>
      <c r="C30" s="190"/>
      <c r="D30" s="190"/>
      <c r="E30" s="190"/>
      <c r="F30" s="190"/>
      <c r="G30" s="190"/>
      <c r="H30" s="190"/>
      <c r="I30" s="191"/>
      <c r="K30" s="48"/>
      <c r="L30" s="49"/>
      <c r="M30" s="40"/>
      <c r="N30" s="40"/>
    </row>
    <row r="31" spans="1:14" ht="15" customHeight="1" x14ac:dyDescent="0.25">
      <c r="A31" s="57"/>
      <c r="B31" s="15"/>
      <c r="C31" s="15"/>
      <c r="D31" s="15"/>
      <c r="E31" s="15"/>
      <c r="F31" s="15"/>
      <c r="G31" s="15"/>
      <c r="H31" s="15"/>
      <c r="I31" s="6"/>
      <c r="K31" s="48" t="s">
        <v>65</v>
      </c>
      <c r="L31" s="63">
        <f>+L25</f>
        <v>315.63333333333327</v>
      </c>
      <c r="M31" s="40"/>
      <c r="N31" s="40"/>
    </row>
    <row r="32" spans="1:14" s="58" customFormat="1" ht="28.5" customHeight="1" x14ac:dyDescent="0.25">
      <c r="A32" s="67" t="s">
        <v>20</v>
      </c>
      <c r="B32" s="67" t="s">
        <v>21</v>
      </c>
      <c r="C32" s="67" t="s">
        <v>22</v>
      </c>
      <c r="D32" s="67" t="s">
        <v>23</v>
      </c>
      <c r="E32" s="67" t="s">
        <v>1</v>
      </c>
      <c r="F32" s="67" t="s">
        <v>2</v>
      </c>
      <c r="G32" s="67" t="s">
        <v>74</v>
      </c>
      <c r="H32" s="67" t="s">
        <v>13</v>
      </c>
      <c r="I32" s="18"/>
      <c r="K32" s="48"/>
      <c r="L32" s="49"/>
      <c r="M32" s="40"/>
      <c r="N32" s="40"/>
    </row>
    <row r="33" spans="1:14" ht="15" customHeight="1" x14ac:dyDescent="0.25">
      <c r="A33" s="36" t="s">
        <v>32</v>
      </c>
      <c r="B33" s="4">
        <v>1</v>
      </c>
      <c r="C33" s="5">
        <v>1715.415</v>
      </c>
      <c r="D33" s="24">
        <f>SUM(B33*C33)</f>
        <v>1715.415</v>
      </c>
      <c r="E33" s="25">
        <f>+$B$15</f>
        <v>5</v>
      </c>
      <c r="F33" s="26">
        <f>+$B$16</f>
        <v>0.04</v>
      </c>
      <c r="G33" s="27">
        <f>-PMT(F33/12,E33,D33,0,1)</f>
        <v>345.37020732710664</v>
      </c>
      <c r="H33" s="21" t="s">
        <v>208</v>
      </c>
      <c r="I33" s="22"/>
      <c r="K33" s="166" t="s">
        <v>205</v>
      </c>
      <c r="L33" s="167">
        <f>+L31/L29</f>
        <v>0.77934156378600805</v>
      </c>
      <c r="M33" s="40"/>
      <c r="N33" s="40"/>
    </row>
    <row r="34" spans="1:14" ht="15" customHeight="1" x14ac:dyDescent="0.25">
      <c r="A34" s="36" t="s">
        <v>31</v>
      </c>
      <c r="B34" s="4">
        <v>1</v>
      </c>
      <c r="C34" s="5">
        <v>301.75799999999998</v>
      </c>
      <c r="D34" s="24">
        <f>SUM(B34*C34)</f>
        <v>301.75799999999998</v>
      </c>
      <c r="E34" s="25">
        <f>+$B$15</f>
        <v>5</v>
      </c>
      <c r="F34" s="26">
        <f>+$B$16</f>
        <v>0.04</v>
      </c>
      <c r="G34" s="27">
        <f t="shared" ref="G34" si="1">-PMT(F34/12,E34,D34,0,1)</f>
        <v>60.753941770716153</v>
      </c>
      <c r="H34" s="21" t="s">
        <v>208</v>
      </c>
      <c r="I34" s="22"/>
      <c r="K34" s="51"/>
      <c r="L34" s="165"/>
    </row>
    <row r="35" spans="1:14" ht="15" customHeight="1" x14ac:dyDescent="0.25">
      <c r="A35" s="36"/>
      <c r="B35" s="4"/>
      <c r="C35" s="5"/>
      <c r="D35" s="24"/>
      <c r="E35" s="25"/>
      <c r="F35" s="26"/>
      <c r="G35" s="27"/>
      <c r="H35" s="21"/>
      <c r="I35" s="22"/>
      <c r="K35" s="136" t="s">
        <v>204</v>
      </c>
      <c r="L35" s="137"/>
    </row>
    <row r="36" spans="1:14" ht="15" customHeight="1" x14ac:dyDescent="0.25">
      <c r="A36" s="168" t="s">
        <v>18</v>
      </c>
      <c r="B36" s="170">
        <f>SUM(B33:B34)</f>
        <v>2</v>
      </c>
      <c r="C36" s="172">
        <f>SUM(C33:C35)</f>
        <v>2017.173</v>
      </c>
      <c r="D36" s="172">
        <f>SUM(D33:D35)</f>
        <v>2017.173</v>
      </c>
      <c r="E36" s="174"/>
      <c r="F36" s="175"/>
      <c r="G36" s="172">
        <f>SUM(G33:G35)</f>
        <v>406.12414909782279</v>
      </c>
      <c r="H36" s="176"/>
      <c r="I36" s="30"/>
      <c r="K36" s="46" t="s">
        <v>202</v>
      </c>
      <c r="L36" s="164">
        <v>1</v>
      </c>
    </row>
    <row r="37" spans="1:14" ht="15" customHeight="1" x14ac:dyDescent="0.25">
      <c r="A37" s="62"/>
      <c r="B37" s="31"/>
      <c r="C37" s="32"/>
      <c r="D37" s="32"/>
      <c r="E37" s="33"/>
      <c r="F37" s="34"/>
      <c r="G37" s="32"/>
      <c r="H37" s="35"/>
      <c r="I37" s="30"/>
      <c r="K37" s="52" t="s">
        <v>53</v>
      </c>
      <c r="L37" s="120">
        <f>+L10</f>
        <v>106</v>
      </c>
    </row>
    <row r="38" spans="1:14" ht="15" customHeight="1" x14ac:dyDescent="0.25">
      <c r="A38" s="192" t="s">
        <v>24</v>
      </c>
      <c r="B38" s="193"/>
      <c r="C38" s="193"/>
      <c r="D38" s="193"/>
      <c r="E38" s="193"/>
      <c r="F38" s="193"/>
      <c r="G38" s="193"/>
      <c r="H38" s="193"/>
      <c r="I38" s="194"/>
      <c r="K38" s="119" t="s">
        <v>201</v>
      </c>
      <c r="L38" s="2">
        <f>+L36*L37</f>
        <v>106</v>
      </c>
    </row>
    <row r="39" spans="1:14" ht="15" customHeight="1" x14ac:dyDescent="0.25">
      <c r="A39" s="154"/>
      <c r="B39" s="155"/>
      <c r="C39" s="155"/>
      <c r="D39" s="155"/>
      <c r="E39" s="155"/>
      <c r="F39" s="155"/>
      <c r="G39" s="155"/>
      <c r="H39" s="155"/>
      <c r="I39" s="156"/>
      <c r="K39" s="119"/>
      <c r="L39" s="2"/>
    </row>
    <row r="40" spans="1:14" ht="30.75" customHeight="1" x14ac:dyDescent="0.25">
      <c r="A40" s="153" t="s">
        <v>25</v>
      </c>
      <c r="B40" s="153" t="s">
        <v>26</v>
      </c>
      <c r="C40" s="153" t="s">
        <v>11</v>
      </c>
      <c r="D40" s="153" t="s">
        <v>27</v>
      </c>
      <c r="E40" s="153" t="s">
        <v>28</v>
      </c>
      <c r="F40" s="153" t="s">
        <v>29</v>
      </c>
      <c r="G40" s="153" t="s">
        <v>76</v>
      </c>
      <c r="H40" s="153" t="s">
        <v>75</v>
      </c>
      <c r="I40" s="153" t="s">
        <v>13</v>
      </c>
      <c r="K40" s="166" t="s">
        <v>206</v>
      </c>
      <c r="L40" s="167">
        <f>+L38/L29</f>
        <v>0.2617283950617284</v>
      </c>
    </row>
    <row r="41" spans="1:14" ht="15" customHeight="1" x14ac:dyDescent="0.25">
      <c r="A41" s="36" t="s">
        <v>70</v>
      </c>
      <c r="B41" s="36">
        <v>50</v>
      </c>
      <c r="C41" s="37">
        <v>2000.7</v>
      </c>
      <c r="D41" s="37">
        <f>+C41/B41</f>
        <v>40.014000000000003</v>
      </c>
      <c r="E41" s="4">
        <v>1</v>
      </c>
      <c r="F41" s="23">
        <f>+D41*E41</f>
        <v>40.014000000000003</v>
      </c>
      <c r="G41" s="68">
        <f>+$B$14</f>
        <v>27579</v>
      </c>
      <c r="H41" s="29">
        <f>+F41*G41</f>
        <v>1103546.1060000001</v>
      </c>
      <c r="I41" s="21" t="s">
        <v>208</v>
      </c>
    </row>
    <row r="42" spans="1:14" ht="15" customHeight="1" x14ac:dyDescent="0.25">
      <c r="A42" s="36" t="s">
        <v>52</v>
      </c>
      <c r="B42" s="36">
        <v>1000</v>
      </c>
      <c r="C42" s="37">
        <v>52.44</v>
      </c>
      <c r="D42" s="37">
        <f>+C42/B42</f>
        <v>5.2440000000000001E-2</v>
      </c>
      <c r="E42" s="23">
        <v>1</v>
      </c>
      <c r="F42" s="23">
        <f t="shared" ref="F42:F49" si="2">+D42*E42</f>
        <v>5.2440000000000001E-2</v>
      </c>
      <c r="G42" s="68">
        <f t="shared" ref="G42:G49" si="3">+$B$14</f>
        <v>27579</v>
      </c>
      <c r="H42" s="29">
        <f t="shared" ref="H42:H49" si="4">+F42*G42</f>
        <v>1446.2427600000001</v>
      </c>
      <c r="I42" s="21" t="s">
        <v>51</v>
      </c>
    </row>
    <row r="43" spans="1:14" ht="15" customHeight="1" x14ac:dyDescent="0.25">
      <c r="A43" s="36" t="s">
        <v>50</v>
      </c>
      <c r="B43" s="36">
        <v>100</v>
      </c>
      <c r="C43" s="37">
        <v>59.998200000000004</v>
      </c>
      <c r="D43" s="37">
        <f>+C43/B43</f>
        <v>0.59998200000000002</v>
      </c>
      <c r="E43" s="23">
        <v>2.4390243902439025E-2</v>
      </c>
      <c r="F43" s="23">
        <f t="shared" si="2"/>
        <v>1.4633707317073171E-2</v>
      </c>
      <c r="G43" s="68">
        <f t="shared" si="3"/>
        <v>27579</v>
      </c>
      <c r="H43" s="29">
        <f t="shared" si="4"/>
        <v>403.58301409756098</v>
      </c>
      <c r="I43" s="21" t="s">
        <v>49</v>
      </c>
    </row>
    <row r="44" spans="1:14" ht="15" customHeight="1" x14ac:dyDescent="0.25">
      <c r="A44" s="36" t="s">
        <v>46</v>
      </c>
      <c r="B44" s="36">
        <v>1000</v>
      </c>
      <c r="C44" s="37">
        <v>1675.8</v>
      </c>
      <c r="D44" s="37">
        <f t="shared" ref="D44:D49" si="5">+C44/B44</f>
        <v>1.6758</v>
      </c>
      <c r="E44" s="23">
        <v>1</v>
      </c>
      <c r="F44" s="23">
        <f t="shared" si="2"/>
        <v>1.6758</v>
      </c>
      <c r="G44" s="68">
        <f t="shared" si="3"/>
        <v>27579</v>
      </c>
      <c r="H44" s="29">
        <f t="shared" si="4"/>
        <v>46216.888200000001</v>
      </c>
      <c r="I44" s="21" t="s">
        <v>45</v>
      </c>
    </row>
    <row r="45" spans="1:14" ht="15" customHeight="1" x14ac:dyDescent="0.25">
      <c r="A45" s="36" t="s">
        <v>40</v>
      </c>
      <c r="B45" s="36">
        <v>100</v>
      </c>
      <c r="C45" s="37">
        <v>53.01</v>
      </c>
      <c r="D45" s="37">
        <f t="shared" si="5"/>
        <v>0.53010000000000002</v>
      </c>
      <c r="E45" s="23">
        <v>7.3170731707317097E-2</v>
      </c>
      <c r="F45" s="23">
        <f>+D45*E45</f>
        <v>3.8787804878048796E-2</v>
      </c>
      <c r="G45" s="68">
        <f t="shared" si="3"/>
        <v>27579</v>
      </c>
      <c r="H45" s="29">
        <f t="shared" si="4"/>
        <v>1069.7288707317077</v>
      </c>
      <c r="I45" s="21" t="s">
        <v>39</v>
      </c>
    </row>
    <row r="46" spans="1:14" ht="15" customHeight="1" x14ac:dyDescent="0.25">
      <c r="A46" s="36" t="s">
        <v>38</v>
      </c>
      <c r="B46" s="36">
        <v>22</v>
      </c>
      <c r="C46" s="37">
        <v>1198.0374000000002</v>
      </c>
      <c r="D46" s="37">
        <f t="shared" si="5"/>
        <v>54.45624545454546</v>
      </c>
      <c r="E46" s="23">
        <v>4.9751243781094526E-3</v>
      </c>
      <c r="F46" s="23">
        <f t="shared" si="2"/>
        <v>0.27092659430122118</v>
      </c>
      <c r="G46" s="68">
        <f t="shared" si="3"/>
        <v>27579</v>
      </c>
      <c r="H46" s="29">
        <f t="shared" si="4"/>
        <v>7471.8845442333786</v>
      </c>
      <c r="I46" s="21" t="s">
        <v>37</v>
      </c>
    </row>
    <row r="47" spans="1:14" ht="15" customHeight="1" x14ac:dyDescent="0.25">
      <c r="A47" s="36" t="s">
        <v>48</v>
      </c>
      <c r="B47" s="36">
        <v>500</v>
      </c>
      <c r="C47" s="37">
        <v>44.118000000000002</v>
      </c>
      <c r="D47" s="37">
        <f t="shared" si="5"/>
        <v>8.8236000000000009E-2</v>
      </c>
      <c r="E47" s="23">
        <v>4.878048780487805E-2</v>
      </c>
      <c r="F47" s="23">
        <f t="shared" si="2"/>
        <v>4.3041951219512202E-3</v>
      </c>
      <c r="G47" s="68">
        <f t="shared" si="3"/>
        <v>27579</v>
      </c>
      <c r="H47" s="29">
        <f t="shared" si="4"/>
        <v>118.7053972682927</v>
      </c>
      <c r="I47" s="21" t="s">
        <v>47</v>
      </c>
    </row>
    <row r="48" spans="1:14" ht="15" customHeight="1" x14ac:dyDescent="0.25">
      <c r="A48" s="36" t="s">
        <v>43</v>
      </c>
      <c r="B48" s="36">
        <v>1</v>
      </c>
      <c r="C48" s="37">
        <v>94.460399999999993</v>
      </c>
      <c r="D48" s="37">
        <f t="shared" si="5"/>
        <v>94.460399999999993</v>
      </c>
      <c r="E48" s="23">
        <v>1.1086474501108647E-3</v>
      </c>
      <c r="F48" s="23">
        <f t="shared" si="2"/>
        <v>0.10472328159645232</v>
      </c>
      <c r="G48" s="68">
        <f t="shared" si="3"/>
        <v>27579</v>
      </c>
      <c r="H48" s="29">
        <f t="shared" si="4"/>
        <v>2888.1633831485583</v>
      </c>
      <c r="I48" s="21" t="s">
        <v>42</v>
      </c>
    </row>
    <row r="49" spans="1:12" ht="15" customHeight="1" x14ac:dyDescent="0.25">
      <c r="A49" s="36" t="s">
        <v>41</v>
      </c>
      <c r="B49" s="36">
        <v>1</v>
      </c>
      <c r="C49" s="37">
        <v>57.957600000000006</v>
      </c>
      <c r="D49" s="37">
        <f t="shared" si="5"/>
        <v>57.957600000000006</v>
      </c>
      <c r="E49" s="23">
        <v>1.1086474501108647E-3</v>
      </c>
      <c r="F49" s="23">
        <f t="shared" si="2"/>
        <v>6.4254545454545467E-2</v>
      </c>
      <c r="G49" s="68">
        <f t="shared" si="3"/>
        <v>27579</v>
      </c>
      <c r="H49" s="29">
        <f t="shared" si="4"/>
        <v>1772.0761090909095</v>
      </c>
      <c r="I49" s="21" t="s">
        <v>44</v>
      </c>
    </row>
    <row r="50" spans="1:12" ht="15" customHeight="1" x14ac:dyDescent="0.25">
      <c r="A50" s="36"/>
      <c r="B50" s="36"/>
      <c r="C50" s="36"/>
      <c r="D50" s="37"/>
      <c r="E50" s="4"/>
      <c r="F50" s="23"/>
      <c r="G50" s="36"/>
      <c r="H50" s="29"/>
      <c r="I50" s="21"/>
    </row>
    <row r="51" spans="1:12" ht="15" customHeight="1" x14ac:dyDescent="0.25">
      <c r="A51" s="168" t="s">
        <v>18</v>
      </c>
      <c r="B51" s="168"/>
      <c r="C51" s="168"/>
      <c r="D51" s="169"/>
      <c r="E51" s="170"/>
      <c r="F51" s="171">
        <f>SUM(F41:F50)</f>
        <v>42.239870128669295</v>
      </c>
      <c r="G51" s="168"/>
      <c r="H51" s="172">
        <f>SUM(H41:H50)</f>
        <v>1164933.3782785705</v>
      </c>
      <c r="I51" s="173"/>
    </row>
    <row r="52" spans="1:12" ht="15" customHeight="1" x14ac:dyDescent="0.25">
      <c r="A52" s="41"/>
      <c r="B52" s="16"/>
      <c r="C52" s="16"/>
      <c r="D52" s="42"/>
      <c r="E52" s="1"/>
      <c r="F52" s="43"/>
      <c r="G52" s="16"/>
      <c r="I52" s="28"/>
    </row>
    <row r="53" spans="1:12" ht="15" customHeight="1" x14ac:dyDescent="0.25">
      <c r="A53" s="192" t="s">
        <v>199</v>
      </c>
      <c r="B53" s="193"/>
      <c r="C53" s="193"/>
      <c r="D53" s="193"/>
      <c r="E53" s="193"/>
      <c r="F53" s="193"/>
      <c r="G53" s="193"/>
      <c r="H53" s="193"/>
      <c r="I53" s="194"/>
    </row>
    <row r="54" spans="1:12" ht="15" customHeight="1" x14ac:dyDescent="0.25">
      <c r="A54" s="142"/>
      <c r="B54" s="143"/>
      <c r="C54" s="143"/>
      <c r="D54" s="143"/>
      <c r="E54" s="143"/>
      <c r="F54" s="143"/>
      <c r="G54" s="143"/>
      <c r="H54" s="143"/>
      <c r="I54" s="144"/>
    </row>
    <row r="55" spans="1:12" ht="15" customHeight="1" x14ac:dyDescent="0.25">
      <c r="A55" s="149" t="s">
        <v>197</v>
      </c>
      <c r="B55" s="150"/>
      <c r="C55" s="150"/>
      <c r="D55" s="150"/>
      <c r="E55" s="150"/>
      <c r="F55" s="150"/>
      <c r="G55" s="150"/>
      <c r="H55" s="150"/>
      <c r="I55" s="2"/>
    </row>
    <row r="56" spans="1:12" s="58" customFormat="1" ht="28.5" customHeight="1" x14ac:dyDescent="0.25">
      <c r="A56" s="146"/>
      <c r="B56" s="147"/>
      <c r="C56" s="147" t="s">
        <v>30</v>
      </c>
      <c r="D56" s="147" t="s">
        <v>78</v>
      </c>
      <c r="E56" s="147" t="s">
        <v>81</v>
      </c>
      <c r="F56" s="147" t="s">
        <v>83</v>
      </c>
      <c r="G56" s="147" t="s">
        <v>76</v>
      </c>
      <c r="H56" s="148" t="s">
        <v>200</v>
      </c>
      <c r="I56" s="38"/>
      <c r="K56"/>
      <c r="L56"/>
    </row>
    <row r="57" spans="1:12" ht="15" customHeight="1" x14ac:dyDescent="0.25">
      <c r="A57" s="114"/>
      <c r="B57" s="115"/>
      <c r="C57" s="115">
        <f>+G36</f>
        <v>406.12414909782279</v>
      </c>
      <c r="D57" s="115">
        <f>+G28</f>
        <v>435938.87987325102</v>
      </c>
      <c r="E57" s="115">
        <f>+H51</f>
        <v>1164933.3782785705</v>
      </c>
      <c r="F57" s="116">
        <f>+A57+B57+C57+D57+E57</f>
        <v>1601278.3823009194</v>
      </c>
      <c r="G57" s="115">
        <f>+B14</f>
        <v>27579</v>
      </c>
      <c r="H57" s="117">
        <f>+F57/G57</f>
        <v>58.061509927876983</v>
      </c>
      <c r="I57" s="79"/>
      <c r="K57" s="58"/>
      <c r="L57" s="58"/>
    </row>
    <row r="58" spans="1:12" ht="15" customHeight="1" x14ac:dyDescent="0.25">
      <c r="A58" s="75"/>
      <c r="B58" s="76"/>
      <c r="C58" s="76"/>
      <c r="D58" s="76"/>
      <c r="E58" s="76"/>
      <c r="F58" s="77"/>
      <c r="G58" s="76"/>
      <c r="H58" s="78"/>
      <c r="I58" s="79"/>
    </row>
    <row r="59" spans="1:12" ht="15" customHeight="1" x14ac:dyDescent="0.25">
      <c r="A59" s="151" t="s">
        <v>198</v>
      </c>
      <c r="B59" s="152"/>
      <c r="C59" s="152"/>
      <c r="D59" s="152"/>
      <c r="E59" s="152"/>
      <c r="F59" s="152"/>
      <c r="G59" s="152"/>
      <c r="H59" s="152"/>
      <c r="I59" s="2"/>
    </row>
    <row r="60" spans="1:12" s="64" customFormat="1" ht="25.5" customHeight="1" x14ac:dyDescent="0.25">
      <c r="A60" s="110"/>
      <c r="B60" s="111"/>
      <c r="C60" s="111" t="s">
        <v>80</v>
      </c>
      <c r="D60" s="112" t="s">
        <v>79</v>
      </c>
      <c r="E60" s="111" t="s">
        <v>81</v>
      </c>
      <c r="F60" s="111" t="s">
        <v>83</v>
      </c>
      <c r="G60" s="111" t="s">
        <v>76</v>
      </c>
      <c r="H60" s="113" t="s">
        <v>200</v>
      </c>
      <c r="I60" s="145"/>
      <c r="K60"/>
      <c r="L60"/>
    </row>
    <row r="61" spans="1:12" ht="15" customHeight="1" x14ac:dyDescent="0.25">
      <c r="A61" s="81"/>
      <c r="B61" s="82"/>
      <c r="C61" s="82">
        <f>+C57</f>
        <v>406.12414909782279</v>
      </c>
      <c r="D61" s="82">
        <f>+D57*E19</f>
        <v>440298.2686719835</v>
      </c>
      <c r="E61" s="82">
        <f>+E57*E19</f>
        <v>1176582.7120613563</v>
      </c>
      <c r="F61" s="83">
        <f>+A61+B61+C61+D61+E61</f>
        <v>1617287.1048824377</v>
      </c>
      <c r="G61" s="82">
        <f>+B14</f>
        <v>27579</v>
      </c>
      <c r="H61" s="84">
        <f>+F61/G61</f>
        <v>58.641977768680434</v>
      </c>
      <c r="I61" s="39"/>
      <c r="K61" s="64"/>
      <c r="L61" s="64"/>
    </row>
    <row r="62" spans="1:12" ht="15" customHeight="1" x14ac:dyDescent="0.25">
      <c r="C62" s="56"/>
      <c r="D62" s="56"/>
      <c r="E62" s="56"/>
      <c r="F62" s="56"/>
    </row>
    <row r="63" spans="1:12" ht="15" customHeight="1" x14ac:dyDescent="0.25">
      <c r="C63" s="56"/>
      <c r="D63" s="56"/>
      <c r="E63" s="56"/>
      <c r="F63" s="56"/>
    </row>
  </sheetData>
  <mergeCells count="19">
    <mergeCell ref="A59:H59"/>
    <mergeCell ref="A55:H55"/>
    <mergeCell ref="K8:L8"/>
    <mergeCell ref="K35:L35"/>
    <mergeCell ref="C14:D14"/>
    <mergeCell ref="A30:I30"/>
    <mergeCell ref="F17:G17"/>
    <mergeCell ref="F18:G18"/>
    <mergeCell ref="F14:H14"/>
    <mergeCell ref="A8:I8"/>
    <mergeCell ref="A10:I10"/>
    <mergeCell ref="G12:H12"/>
    <mergeCell ref="A1:I1"/>
    <mergeCell ref="A38:I38"/>
    <mergeCell ref="A53:I53"/>
    <mergeCell ref="A21:I21"/>
    <mergeCell ref="C19:D19"/>
    <mergeCell ref="F19:G19"/>
    <mergeCell ref="F20:G2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"/>
  <sheetViews>
    <sheetView showGridLines="0" zoomScale="106" zoomScaleNormal="106" workbookViewId="0">
      <pane ySplit="2" topLeftCell="A3" activePane="bottomLeft" state="frozen"/>
      <selection activeCell="B1" sqref="B1"/>
      <selection pane="bottomLeft" activeCell="E3" sqref="E3"/>
    </sheetView>
  </sheetViews>
  <sheetFormatPr defaultColWidth="9" defaultRowHeight="15" x14ac:dyDescent="0.25"/>
  <cols>
    <col min="1" max="1" width="8.42578125" style="88" bestFit="1" customWidth="1"/>
    <col min="2" max="2" width="16.85546875" style="88" bestFit="1" customWidth="1"/>
    <col min="3" max="3" width="12.140625" style="88" customWidth="1"/>
    <col min="4" max="4" width="15" style="88" customWidth="1"/>
    <col min="5" max="5" width="15.28515625" style="88" customWidth="1"/>
    <col min="6" max="16384" width="9" style="88"/>
  </cols>
  <sheetData>
    <row r="2" spans="1:5" s="106" customFormat="1" ht="59.25" customHeight="1" x14ac:dyDescent="0.25">
      <c r="A2" s="91" t="s">
        <v>67</v>
      </c>
      <c r="B2" s="91" t="s">
        <v>68</v>
      </c>
      <c r="C2" s="91" t="s">
        <v>189</v>
      </c>
      <c r="D2" s="91" t="s">
        <v>84</v>
      </c>
      <c r="E2" s="91" t="s">
        <v>211</v>
      </c>
    </row>
    <row r="3" spans="1:5" x14ac:dyDescent="0.25">
      <c r="A3" s="89" t="s">
        <v>69</v>
      </c>
      <c r="B3" s="89" t="s">
        <v>66</v>
      </c>
      <c r="C3" s="104">
        <f>ROUNDUP(D3/21.73,0)</f>
        <v>106</v>
      </c>
      <c r="D3" s="90">
        <f t="shared" ref="D3" si="0">+E3/12</f>
        <v>2298.25</v>
      </c>
      <c r="E3" s="105">
        <v>27579</v>
      </c>
    </row>
  </sheetData>
  <sortState ref="A2:O60">
    <sortCondition descending="1" ref="E2:E6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5"/>
  <sheetViews>
    <sheetView showGridLines="0" workbookViewId="0">
      <selection activeCell="P5" sqref="P5"/>
    </sheetView>
  </sheetViews>
  <sheetFormatPr defaultRowHeight="15" x14ac:dyDescent="0.25"/>
  <sheetData>
    <row r="5" spans="16:16" x14ac:dyDescent="0.25">
      <c r="P5">
        <v>13.696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D21" sqref="D21"/>
    </sheetView>
  </sheetViews>
  <sheetFormatPr defaultRowHeight="15" x14ac:dyDescent="0.25"/>
  <cols>
    <col min="1" max="1" width="8.85546875" bestFit="1" customWidth="1"/>
    <col min="2" max="2" width="14" bestFit="1" customWidth="1"/>
    <col min="4" max="4" width="49.5703125" customWidth="1"/>
  </cols>
  <sheetData>
    <row r="1" spans="1:2" ht="47.25" x14ac:dyDescent="0.25">
      <c r="A1" s="44" t="s">
        <v>36</v>
      </c>
      <c r="B1" s="44" t="s">
        <v>196</v>
      </c>
    </row>
    <row r="2" spans="1:2" x14ac:dyDescent="0.25">
      <c r="A2" s="45" t="s">
        <v>16</v>
      </c>
      <c r="B2" s="86">
        <v>193700.93</v>
      </c>
    </row>
    <row r="3" spans="1:2" x14ac:dyDescent="0.25">
      <c r="A3" s="45" t="s">
        <v>14</v>
      </c>
      <c r="B3" s="86">
        <v>338784.14</v>
      </c>
    </row>
    <row r="4" spans="1:2" x14ac:dyDescent="0.25">
      <c r="A4" s="45" t="s">
        <v>17</v>
      </c>
      <c r="B4" s="86">
        <v>656827.16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pane ySplit="13" topLeftCell="A14" activePane="bottomLeft" state="frozen"/>
      <selection pane="bottomLeft" activeCell="B105" sqref="B105"/>
    </sheetView>
  </sheetViews>
  <sheetFormatPr defaultRowHeight="15" x14ac:dyDescent="0.25"/>
  <cols>
    <col min="1" max="1" width="37" customWidth="1"/>
    <col min="9" max="9" width="11.42578125" bestFit="1" customWidth="1"/>
    <col min="11" max="11" width="47.42578125" bestFit="1" customWidth="1"/>
  </cols>
  <sheetData>
    <row r="1" spans="1:9" ht="22.5" x14ac:dyDescent="0.25">
      <c r="A1" s="92" t="s">
        <v>85</v>
      </c>
    </row>
    <row r="3" spans="1:9" x14ac:dyDescent="0.25">
      <c r="A3" s="93" t="s">
        <v>86</v>
      </c>
    </row>
    <row r="4" spans="1:9" x14ac:dyDescent="0.25">
      <c r="A4" s="93" t="s">
        <v>87</v>
      </c>
    </row>
    <row r="6" spans="1:9" x14ac:dyDescent="0.25">
      <c r="A6" s="93" t="s">
        <v>88</v>
      </c>
    </row>
    <row r="7" spans="1:9" x14ac:dyDescent="0.25">
      <c r="A7" s="93" t="s">
        <v>89</v>
      </c>
    </row>
    <row r="9" spans="1:9" x14ac:dyDescent="0.25">
      <c r="A9" s="138" t="s">
        <v>90</v>
      </c>
      <c r="B9" s="138"/>
      <c r="C9" s="138"/>
      <c r="D9" s="138"/>
      <c r="E9" s="138"/>
      <c r="F9" s="138"/>
      <c r="G9" s="138"/>
      <c r="H9" s="138"/>
    </row>
    <row r="10" spans="1:9" x14ac:dyDescent="0.25">
      <c r="A10" s="139" t="s">
        <v>91</v>
      </c>
      <c r="B10" s="139"/>
      <c r="C10" s="139"/>
      <c r="D10" s="139"/>
      <c r="E10" s="139"/>
      <c r="F10" s="139"/>
      <c r="G10" s="139"/>
      <c r="H10" s="139"/>
    </row>
    <row r="11" spans="1:9" x14ac:dyDescent="0.25">
      <c r="A11" s="139" t="s">
        <v>92</v>
      </c>
      <c r="B11" s="139"/>
      <c r="C11" s="139"/>
      <c r="D11" s="139"/>
      <c r="E11" s="139"/>
      <c r="F11" s="139"/>
      <c r="G11" s="139"/>
      <c r="H11" s="139"/>
    </row>
    <row r="13" spans="1:9" ht="23.25" x14ac:dyDescent="0.25">
      <c r="A13" s="94" t="s">
        <v>93</v>
      </c>
      <c r="B13" s="95" t="s">
        <v>94</v>
      </c>
      <c r="C13" s="95" t="s">
        <v>95</v>
      </c>
      <c r="D13" s="95" t="s">
        <v>96</v>
      </c>
      <c r="E13" s="95" t="s">
        <v>97</v>
      </c>
      <c r="F13" s="95" t="s">
        <v>98</v>
      </c>
      <c r="G13" s="95" t="s">
        <v>99</v>
      </c>
      <c r="H13" s="96" t="s">
        <v>18</v>
      </c>
      <c r="I13" s="100" t="s">
        <v>188</v>
      </c>
    </row>
    <row r="14" spans="1:9" ht="13.5" hidden="1" customHeight="1" x14ac:dyDescent="0.25">
      <c r="A14" s="101" t="s">
        <v>100</v>
      </c>
      <c r="B14" s="97">
        <v>1068</v>
      </c>
      <c r="C14" s="97">
        <v>946</v>
      </c>
      <c r="D14" s="97">
        <v>2781</v>
      </c>
      <c r="E14" s="97">
        <v>5895</v>
      </c>
      <c r="F14" s="97">
        <v>5599</v>
      </c>
      <c r="G14" s="97">
        <v>6726</v>
      </c>
      <c r="H14" s="98">
        <v>23015</v>
      </c>
      <c r="I14" s="98">
        <f>SUM(B14:C14)</f>
        <v>2014</v>
      </c>
    </row>
    <row r="15" spans="1:9" hidden="1" x14ac:dyDescent="0.25">
      <c r="A15" s="101" t="s">
        <v>101</v>
      </c>
      <c r="B15" s="97"/>
      <c r="C15" s="97"/>
      <c r="D15" s="97">
        <v>1</v>
      </c>
      <c r="E15" s="97">
        <v>3</v>
      </c>
      <c r="F15" s="97">
        <v>3</v>
      </c>
      <c r="G15" s="97">
        <v>5</v>
      </c>
      <c r="H15" s="98">
        <v>12</v>
      </c>
      <c r="I15" s="98">
        <f t="shared" ref="I15:I78" si="0">SUM(B15:C15)</f>
        <v>0</v>
      </c>
    </row>
    <row r="16" spans="1:9" hidden="1" x14ac:dyDescent="0.25">
      <c r="A16" s="101" t="s">
        <v>102</v>
      </c>
      <c r="B16" s="97">
        <v>2230</v>
      </c>
      <c r="C16" s="97">
        <v>2060</v>
      </c>
      <c r="D16" s="97">
        <v>5317</v>
      </c>
      <c r="E16" s="97">
        <v>11890</v>
      </c>
      <c r="F16" s="97">
        <v>12926</v>
      </c>
      <c r="G16" s="97">
        <v>20008</v>
      </c>
      <c r="H16" s="98">
        <v>54431</v>
      </c>
      <c r="I16" s="98">
        <f t="shared" si="0"/>
        <v>4290</v>
      </c>
    </row>
    <row r="17" spans="1:9" hidden="1" x14ac:dyDescent="0.25">
      <c r="A17" s="101" t="s">
        <v>103</v>
      </c>
      <c r="B17" s="97">
        <v>386</v>
      </c>
      <c r="C17" s="97">
        <v>397</v>
      </c>
      <c r="D17" s="97">
        <v>936</v>
      </c>
      <c r="E17" s="97">
        <v>2085</v>
      </c>
      <c r="F17" s="97">
        <v>2303</v>
      </c>
      <c r="G17" s="97">
        <v>3985</v>
      </c>
      <c r="H17" s="98">
        <v>10092</v>
      </c>
      <c r="I17" s="98">
        <f t="shared" si="0"/>
        <v>783</v>
      </c>
    </row>
    <row r="18" spans="1:9" hidden="1" x14ac:dyDescent="0.25">
      <c r="A18" s="101" t="s">
        <v>104</v>
      </c>
      <c r="B18" s="97">
        <v>858</v>
      </c>
      <c r="C18" s="97">
        <v>846</v>
      </c>
      <c r="D18" s="97">
        <v>1932</v>
      </c>
      <c r="E18" s="97">
        <v>3876</v>
      </c>
      <c r="F18" s="97">
        <v>4324</v>
      </c>
      <c r="G18" s="97">
        <v>6567</v>
      </c>
      <c r="H18" s="98">
        <v>18403</v>
      </c>
      <c r="I18" s="98">
        <f t="shared" si="0"/>
        <v>1704</v>
      </c>
    </row>
    <row r="19" spans="1:9" hidden="1" x14ac:dyDescent="0.25">
      <c r="A19" s="101" t="s">
        <v>105</v>
      </c>
      <c r="B19" s="97"/>
      <c r="C19" s="97">
        <v>1</v>
      </c>
      <c r="D19" s="97"/>
      <c r="E19" s="97">
        <v>2</v>
      </c>
      <c r="F19" s="97"/>
      <c r="G19" s="97">
        <v>3</v>
      </c>
      <c r="H19" s="98">
        <v>6</v>
      </c>
      <c r="I19" s="98">
        <f t="shared" si="0"/>
        <v>1</v>
      </c>
    </row>
    <row r="20" spans="1:9" hidden="1" x14ac:dyDescent="0.25">
      <c r="A20" s="101" t="s">
        <v>106</v>
      </c>
      <c r="B20" s="97">
        <v>682</v>
      </c>
      <c r="C20" s="97">
        <v>610</v>
      </c>
      <c r="D20" s="97">
        <v>1364</v>
      </c>
      <c r="E20" s="97">
        <v>2524</v>
      </c>
      <c r="F20" s="97">
        <v>2701</v>
      </c>
      <c r="G20" s="97">
        <v>5200</v>
      </c>
      <c r="H20" s="98">
        <v>13081</v>
      </c>
      <c r="I20" s="98">
        <f t="shared" si="0"/>
        <v>1292</v>
      </c>
    </row>
    <row r="21" spans="1:9" hidden="1" x14ac:dyDescent="0.25">
      <c r="A21" s="101" t="s">
        <v>107</v>
      </c>
      <c r="B21" s="97">
        <v>1</v>
      </c>
      <c r="C21" s="97">
        <v>4</v>
      </c>
      <c r="D21" s="97">
        <v>4</v>
      </c>
      <c r="E21" s="97">
        <v>11</v>
      </c>
      <c r="F21" s="97">
        <v>8</v>
      </c>
      <c r="G21" s="97">
        <v>16</v>
      </c>
      <c r="H21" s="98">
        <v>44</v>
      </c>
      <c r="I21" s="98">
        <f t="shared" si="0"/>
        <v>5</v>
      </c>
    </row>
    <row r="22" spans="1:9" hidden="1" x14ac:dyDescent="0.25">
      <c r="A22" s="101" t="s">
        <v>108</v>
      </c>
      <c r="B22" s="97">
        <v>1054</v>
      </c>
      <c r="C22" s="97">
        <v>1005</v>
      </c>
      <c r="D22" s="97">
        <v>2512</v>
      </c>
      <c r="E22" s="97">
        <v>5218</v>
      </c>
      <c r="F22" s="97">
        <v>5429</v>
      </c>
      <c r="G22" s="97">
        <v>7661</v>
      </c>
      <c r="H22" s="98">
        <v>22879</v>
      </c>
      <c r="I22" s="98">
        <f t="shared" si="0"/>
        <v>2059</v>
      </c>
    </row>
    <row r="23" spans="1:9" ht="22.5" hidden="1" x14ac:dyDescent="0.25">
      <c r="A23" s="101" t="s">
        <v>109</v>
      </c>
      <c r="B23" s="97">
        <v>9902</v>
      </c>
      <c r="C23" s="97">
        <v>7890</v>
      </c>
      <c r="D23" s="97">
        <v>17616</v>
      </c>
      <c r="E23" s="97">
        <v>32781</v>
      </c>
      <c r="F23" s="97">
        <v>32342</v>
      </c>
      <c r="G23" s="97">
        <v>48468</v>
      </c>
      <c r="H23" s="98">
        <v>148999</v>
      </c>
      <c r="I23" s="98">
        <f t="shared" si="0"/>
        <v>17792</v>
      </c>
    </row>
    <row r="24" spans="1:9" hidden="1" x14ac:dyDescent="0.25">
      <c r="A24" s="101" t="s">
        <v>110</v>
      </c>
      <c r="B24" s="97">
        <v>7478</v>
      </c>
      <c r="C24" s="97">
        <v>6137</v>
      </c>
      <c r="D24" s="97">
        <v>13697</v>
      </c>
      <c r="E24" s="97">
        <v>24233</v>
      </c>
      <c r="F24" s="97">
        <v>23119</v>
      </c>
      <c r="G24" s="97">
        <v>34184</v>
      </c>
      <c r="H24" s="98">
        <v>108848</v>
      </c>
      <c r="I24" s="98">
        <f t="shared" si="0"/>
        <v>13615</v>
      </c>
    </row>
    <row r="25" spans="1:9" hidden="1" x14ac:dyDescent="0.25">
      <c r="A25" s="101" t="s">
        <v>111</v>
      </c>
      <c r="B25" s="97">
        <v>794</v>
      </c>
      <c r="C25" s="97">
        <v>777</v>
      </c>
      <c r="D25" s="97">
        <v>1756</v>
      </c>
      <c r="E25" s="97">
        <v>3865</v>
      </c>
      <c r="F25" s="97">
        <v>4333</v>
      </c>
      <c r="G25" s="97">
        <v>7888</v>
      </c>
      <c r="H25" s="98">
        <v>19413</v>
      </c>
      <c r="I25" s="98">
        <f t="shared" si="0"/>
        <v>1571</v>
      </c>
    </row>
    <row r="26" spans="1:9" hidden="1" x14ac:dyDescent="0.25">
      <c r="A26" s="101" t="s">
        <v>112</v>
      </c>
      <c r="B26" s="97">
        <v>361</v>
      </c>
      <c r="C26" s="97">
        <v>328</v>
      </c>
      <c r="D26" s="97">
        <v>737</v>
      </c>
      <c r="E26" s="97">
        <v>1645</v>
      </c>
      <c r="F26" s="97">
        <v>1816</v>
      </c>
      <c r="G26" s="97">
        <v>2806</v>
      </c>
      <c r="H26" s="98">
        <v>7693</v>
      </c>
      <c r="I26" s="98">
        <f t="shared" si="0"/>
        <v>689</v>
      </c>
    </row>
    <row r="27" spans="1:9" hidden="1" x14ac:dyDescent="0.25">
      <c r="A27" s="101" t="s">
        <v>113</v>
      </c>
      <c r="B27" s="97">
        <v>207</v>
      </c>
      <c r="C27" s="97">
        <v>210</v>
      </c>
      <c r="D27" s="97">
        <v>515</v>
      </c>
      <c r="E27" s="97">
        <v>878</v>
      </c>
      <c r="F27" s="97">
        <v>861</v>
      </c>
      <c r="G27" s="97">
        <v>1569</v>
      </c>
      <c r="H27" s="98">
        <v>4240</v>
      </c>
      <c r="I27" s="98">
        <f t="shared" si="0"/>
        <v>417</v>
      </c>
    </row>
    <row r="28" spans="1:9" hidden="1" x14ac:dyDescent="0.25">
      <c r="A28" s="101" t="s">
        <v>114</v>
      </c>
      <c r="B28" s="97">
        <v>8523</v>
      </c>
      <c r="C28" s="97">
        <v>6596</v>
      </c>
      <c r="D28" s="97">
        <v>14245</v>
      </c>
      <c r="E28" s="97">
        <v>26752</v>
      </c>
      <c r="F28" s="97">
        <v>28001</v>
      </c>
      <c r="G28" s="97">
        <v>47185</v>
      </c>
      <c r="H28" s="98">
        <v>131302</v>
      </c>
      <c r="I28" s="98">
        <f t="shared" si="0"/>
        <v>15119</v>
      </c>
    </row>
    <row r="29" spans="1:9" hidden="1" x14ac:dyDescent="0.25">
      <c r="A29" s="101" t="s">
        <v>115</v>
      </c>
      <c r="B29" s="97"/>
      <c r="C29" s="97"/>
      <c r="D29" s="97">
        <v>2</v>
      </c>
      <c r="E29" s="97">
        <v>3</v>
      </c>
      <c r="F29" s="97">
        <v>4</v>
      </c>
      <c r="G29" s="97">
        <v>3</v>
      </c>
      <c r="H29" s="98">
        <v>12</v>
      </c>
      <c r="I29" s="98">
        <f t="shared" si="0"/>
        <v>0</v>
      </c>
    </row>
    <row r="30" spans="1:9" hidden="1" x14ac:dyDescent="0.25">
      <c r="A30" s="101" t="s">
        <v>116</v>
      </c>
      <c r="B30" s="97">
        <v>596</v>
      </c>
      <c r="C30" s="97">
        <v>522</v>
      </c>
      <c r="D30" s="97">
        <v>1399</v>
      </c>
      <c r="E30" s="97">
        <v>3000</v>
      </c>
      <c r="F30" s="97">
        <v>3263</v>
      </c>
      <c r="G30" s="97">
        <v>4855</v>
      </c>
      <c r="H30" s="98">
        <v>13635</v>
      </c>
      <c r="I30" s="98">
        <f t="shared" si="0"/>
        <v>1118</v>
      </c>
    </row>
    <row r="31" spans="1:9" hidden="1" x14ac:dyDescent="0.25">
      <c r="A31" s="101" t="s">
        <v>117</v>
      </c>
      <c r="B31" s="97">
        <v>5352</v>
      </c>
      <c r="C31" s="97">
        <v>4612</v>
      </c>
      <c r="D31" s="97">
        <v>10549</v>
      </c>
      <c r="E31" s="97">
        <v>19258</v>
      </c>
      <c r="F31" s="97">
        <v>19204</v>
      </c>
      <c r="G31" s="97">
        <v>31298</v>
      </c>
      <c r="H31" s="98">
        <v>90273</v>
      </c>
      <c r="I31" s="98">
        <f t="shared" si="0"/>
        <v>9964</v>
      </c>
    </row>
    <row r="32" spans="1:9" hidden="1" x14ac:dyDescent="0.25">
      <c r="A32" s="101" t="s">
        <v>118</v>
      </c>
      <c r="B32" s="97">
        <v>6438</v>
      </c>
      <c r="C32" s="97">
        <v>5829</v>
      </c>
      <c r="D32" s="97">
        <v>15128</v>
      </c>
      <c r="E32" s="97">
        <v>34166</v>
      </c>
      <c r="F32" s="97">
        <v>40946</v>
      </c>
      <c r="G32" s="97">
        <v>72149</v>
      </c>
      <c r="H32" s="98">
        <v>174656</v>
      </c>
      <c r="I32" s="98">
        <f t="shared" si="0"/>
        <v>12267</v>
      </c>
    </row>
    <row r="33" spans="1:9" hidden="1" x14ac:dyDescent="0.25">
      <c r="A33" s="101" t="s">
        <v>119</v>
      </c>
      <c r="B33" s="97">
        <v>1</v>
      </c>
      <c r="C33" s="97">
        <v>1</v>
      </c>
      <c r="D33" s="97">
        <v>3</v>
      </c>
      <c r="E33" s="97">
        <v>1</v>
      </c>
      <c r="F33" s="97">
        <v>3</v>
      </c>
      <c r="G33" s="97">
        <v>2</v>
      </c>
      <c r="H33" s="98">
        <v>11</v>
      </c>
      <c r="I33" s="98">
        <f t="shared" si="0"/>
        <v>2</v>
      </c>
    </row>
    <row r="34" spans="1:9" hidden="1" x14ac:dyDescent="0.25">
      <c r="A34" s="101" t="s">
        <v>120</v>
      </c>
      <c r="B34" s="97">
        <v>1</v>
      </c>
      <c r="C34" s="97"/>
      <c r="D34" s="97">
        <v>2</v>
      </c>
      <c r="E34" s="97">
        <v>3</v>
      </c>
      <c r="F34" s="97"/>
      <c r="G34" s="97">
        <v>6</v>
      </c>
      <c r="H34" s="98">
        <v>12</v>
      </c>
      <c r="I34" s="98">
        <f t="shared" si="0"/>
        <v>1</v>
      </c>
    </row>
    <row r="35" spans="1:9" hidden="1" x14ac:dyDescent="0.25">
      <c r="A35" s="101" t="s">
        <v>121</v>
      </c>
      <c r="B35" s="97"/>
      <c r="C35" s="97"/>
      <c r="D35" s="97"/>
      <c r="E35" s="97"/>
      <c r="F35" s="97"/>
      <c r="G35" s="97">
        <v>2</v>
      </c>
      <c r="H35" s="98">
        <v>2</v>
      </c>
      <c r="I35" s="98">
        <f t="shared" si="0"/>
        <v>0</v>
      </c>
    </row>
    <row r="36" spans="1:9" hidden="1" x14ac:dyDescent="0.25">
      <c r="A36" s="101" t="s">
        <v>122</v>
      </c>
      <c r="B36" s="97">
        <v>5876</v>
      </c>
      <c r="C36" s="97">
        <v>5295</v>
      </c>
      <c r="D36" s="97">
        <v>12679</v>
      </c>
      <c r="E36" s="97">
        <v>24840</v>
      </c>
      <c r="F36" s="97">
        <v>25229</v>
      </c>
      <c r="G36" s="97">
        <v>38690</v>
      </c>
      <c r="H36" s="98">
        <v>112609</v>
      </c>
      <c r="I36" s="98">
        <f t="shared" si="0"/>
        <v>11171</v>
      </c>
    </row>
    <row r="37" spans="1:9" hidden="1" x14ac:dyDescent="0.25">
      <c r="A37" s="101" t="s">
        <v>123</v>
      </c>
      <c r="B37" s="97">
        <v>1438</v>
      </c>
      <c r="C37" s="97">
        <v>1320</v>
      </c>
      <c r="D37" s="97">
        <v>3668</v>
      </c>
      <c r="E37" s="97">
        <v>8204</v>
      </c>
      <c r="F37" s="97">
        <v>9039</v>
      </c>
      <c r="G37" s="97">
        <v>15173</v>
      </c>
      <c r="H37" s="98">
        <v>38842</v>
      </c>
      <c r="I37" s="98">
        <f t="shared" si="0"/>
        <v>2758</v>
      </c>
    </row>
    <row r="38" spans="1:9" hidden="1" x14ac:dyDescent="0.25">
      <c r="A38" s="101" t="s">
        <v>124</v>
      </c>
      <c r="B38" s="97"/>
      <c r="C38" s="97"/>
      <c r="D38" s="97"/>
      <c r="E38" s="97"/>
      <c r="F38" s="97">
        <v>1</v>
      </c>
      <c r="G38" s="97"/>
      <c r="H38" s="98">
        <v>1</v>
      </c>
      <c r="I38" s="98">
        <f t="shared" si="0"/>
        <v>0</v>
      </c>
    </row>
    <row r="39" spans="1:9" hidden="1" x14ac:dyDescent="0.25">
      <c r="A39" s="101" t="s">
        <v>125</v>
      </c>
      <c r="B39" s="97"/>
      <c r="C39" s="97"/>
      <c r="D39" s="97"/>
      <c r="E39" s="97">
        <v>1</v>
      </c>
      <c r="F39" s="97">
        <v>1</v>
      </c>
      <c r="G39" s="97"/>
      <c r="H39" s="98">
        <v>2</v>
      </c>
      <c r="I39" s="98">
        <f t="shared" si="0"/>
        <v>0</v>
      </c>
    </row>
    <row r="40" spans="1:9" hidden="1" x14ac:dyDescent="0.25">
      <c r="A40" s="101" t="s">
        <v>126</v>
      </c>
      <c r="B40" s="97">
        <v>917</v>
      </c>
      <c r="C40" s="97">
        <v>1075</v>
      </c>
      <c r="D40" s="97">
        <v>2649</v>
      </c>
      <c r="E40" s="97">
        <v>5537</v>
      </c>
      <c r="F40" s="97">
        <v>6114</v>
      </c>
      <c r="G40" s="97">
        <v>9567</v>
      </c>
      <c r="H40" s="98">
        <v>25859</v>
      </c>
      <c r="I40" s="98">
        <f t="shared" si="0"/>
        <v>1992</v>
      </c>
    </row>
    <row r="41" spans="1:9" hidden="1" x14ac:dyDescent="0.25">
      <c r="A41" s="101" t="s">
        <v>127</v>
      </c>
      <c r="B41" s="97"/>
      <c r="C41" s="97"/>
      <c r="D41" s="97"/>
      <c r="E41" s="97">
        <v>1</v>
      </c>
      <c r="F41" s="97">
        <v>3</v>
      </c>
      <c r="G41" s="97">
        <v>2</v>
      </c>
      <c r="H41" s="98">
        <v>6</v>
      </c>
      <c r="I41" s="98">
        <f t="shared" si="0"/>
        <v>0</v>
      </c>
    </row>
    <row r="42" spans="1:9" hidden="1" x14ac:dyDescent="0.25">
      <c r="A42" s="101" t="s">
        <v>128</v>
      </c>
      <c r="B42" s="97">
        <v>127</v>
      </c>
      <c r="C42" s="97">
        <v>119</v>
      </c>
      <c r="D42" s="97">
        <v>285</v>
      </c>
      <c r="E42" s="97">
        <v>516</v>
      </c>
      <c r="F42" s="97">
        <v>605</v>
      </c>
      <c r="G42" s="97">
        <v>960</v>
      </c>
      <c r="H42" s="98">
        <v>2612</v>
      </c>
      <c r="I42" s="98">
        <f t="shared" si="0"/>
        <v>246</v>
      </c>
    </row>
    <row r="43" spans="1:9" hidden="1" x14ac:dyDescent="0.25">
      <c r="A43" s="101" t="s">
        <v>129</v>
      </c>
      <c r="B43" s="97">
        <v>3003</v>
      </c>
      <c r="C43" s="97">
        <v>2804</v>
      </c>
      <c r="D43" s="97">
        <v>6283</v>
      </c>
      <c r="E43" s="97">
        <v>12446</v>
      </c>
      <c r="F43" s="97">
        <v>14229</v>
      </c>
      <c r="G43" s="97">
        <v>21274</v>
      </c>
      <c r="H43" s="98">
        <v>60039</v>
      </c>
      <c r="I43" s="98">
        <f t="shared" si="0"/>
        <v>5807</v>
      </c>
    </row>
    <row r="44" spans="1:9" hidden="1" x14ac:dyDescent="0.25">
      <c r="A44" s="101" t="s">
        <v>130</v>
      </c>
      <c r="B44" s="97">
        <v>2846</v>
      </c>
      <c r="C44" s="97">
        <v>2982</v>
      </c>
      <c r="D44" s="97">
        <v>7744</v>
      </c>
      <c r="E44" s="97">
        <v>17645</v>
      </c>
      <c r="F44" s="97">
        <v>21511</v>
      </c>
      <c r="G44" s="97">
        <v>35573</v>
      </c>
      <c r="H44" s="98">
        <v>88301</v>
      </c>
      <c r="I44" s="98">
        <f t="shared" si="0"/>
        <v>5828</v>
      </c>
    </row>
    <row r="45" spans="1:9" hidden="1" x14ac:dyDescent="0.25">
      <c r="A45" s="101" t="s">
        <v>131</v>
      </c>
      <c r="B45" s="97">
        <v>2</v>
      </c>
      <c r="C45" s="97"/>
      <c r="D45" s="97">
        <v>2</v>
      </c>
      <c r="E45" s="97">
        <v>3</v>
      </c>
      <c r="F45" s="97">
        <v>7</v>
      </c>
      <c r="G45" s="97">
        <v>8</v>
      </c>
      <c r="H45" s="98">
        <v>22</v>
      </c>
      <c r="I45" s="98">
        <f t="shared" si="0"/>
        <v>2</v>
      </c>
    </row>
    <row r="46" spans="1:9" hidden="1" x14ac:dyDescent="0.25">
      <c r="A46" s="101" t="s">
        <v>132</v>
      </c>
      <c r="B46" s="97">
        <v>1602</v>
      </c>
      <c r="C46" s="97">
        <v>1660</v>
      </c>
      <c r="D46" s="97">
        <v>4281</v>
      </c>
      <c r="E46" s="97">
        <v>10724</v>
      </c>
      <c r="F46" s="97">
        <v>14999</v>
      </c>
      <c r="G46" s="97">
        <v>43632</v>
      </c>
      <c r="H46" s="98">
        <v>76898</v>
      </c>
      <c r="I46" s="98">
        <f t="shared" si="0"/>
        <v>3262</v>
      </c>
    </row>
    <row r="47" spans="1:9" hidden="1" x14ac:dyDescent="0.25">
      <c r="A47" s="101" t="s">
        <v>133</v>
      </c>
      <c r="B47" s="97">
        <v>1210</v>
      </c>
      <c r="C47" s="97">
        <v>1208</v>
      </c>
      <c r="D47" s="97">
        <v>2775</v>
      </c>
      <c r="E47" s="97">
        <v>5306</v>
      </c>
      <c r="F47" s="97">
        <v>5759</v>
      </c>
      <c r="G47" s="97">
        <v>10522</v>
      </c>
      <c r="H47" s="98">
        <v>26780</v>
      </c>
      <c r="I47" s="98">
        <f t="shared" si="0"/>
        <v>2418</v>
      </c>
    </row>
    <row r="48" spans="1:9" hidden="1" x14ac:dyDescent="0.25">
      <c r="A48" s="101" t="s">
        <v>134</v>
      </c>
      <c r="B48" s="97">
        <v>1260</v>
      </c>
      <c r="C48" s="97">
        <v>791</v>
      </c>
      <c r="D48" s="97">
        <v>1375</v>
      </c>
      <c r="E48" s="97">
        <v>1827</v>
      </c>
      <c r="F48" s="97">
        <v>1497</v>
      </c>
      <c r="G48" s="97">
        <v>3861</v>
      </c>
      <c r="H48" s="98">
        <v>10611</v>
      </c>
      <c r="I48" s="98">
        <f t="shared" si="0"/>
        <v>2051</v>
      </c>
    </row>
    <row r="49" spans="1:9" hidden="1" x14ac:dyDescent="0.25">
      <c r="A49" s="101" t="s">
        <v>135</v>
      </c>
      <c r="B49" s="97">
        <v>2563</v>
      </c>
      <c r="C49" s="97">
        <v>2535</v>
      </c>
      <c r="D49" s="97">
        <v>5969</v>
      </c>
      <c r="E49" s="97">
        <v>11009</v>
      </c>
      <c r="F49" s="97">
        <v>11552</v>
      </c>
      <c r="G49" s="97">
        <v>19203</v>
      </c>
      <c r="H49" s="98">
        <v>52831</v>
      </c>
      <c r="I49" s="98">
        <f t="shared" si="0"/>
        <v>5098</v>
      </c>
    </row>
    <row r="50" spans="1:9" hidden="1" x14ac:dyDescent="0.25">
      <c r="A50" s="101" t="s">
        <v>136</v>
      </c>
      <c r="B50" s="97">
        <v>1081</v>
      </c>
      <c r="C50" s="97">
        <v>929</v>
      </c>
      <c r="D50" s="97">
        <v>2305</v>
      </c>
      <c r="E50" s="97">
        <v>5154</v>
      </c>
      <c r="F50" s="97">
        <v>6088</v>
      </c>
      <c r="G50" s="97">
        <v>10373</v>
      </c>
      <c r="H50" s="98">
        <v>25930</v>
      </c>
      <c r="I50" s="98">
        <f t="shared" si="0"/>
        <v>2010</v>
      </c>
    </row>
    <row r="51" spans="1:9" hidden="1" x14ac:dyDescent="0.25">
      <c r="A51" s="101" t="s">
        <v>137</v>
      </c>
      <c r="B51" s="97">
        <v>563</v>
      </c>
      <c r="C51" s="97">
        <v>543</v>
      </c>
      <c r="D51" s="97">
        <v>1348</v>
      </c>
      <c r="E51" s="97">
        <v>2623</v>
      </c>
      <c r="F51" s="97">
        <v>2234</v>
      </c>
      <c r="G51" s="97">
        <v>2471</v>
      </c>
      <c r="H51" s="98">
        <v>9782</v>
      </c>
      <c r="I51" s="98">
        <f t="shared" si="0"/>
        <v>1106</v>
      </c>
    </row>
    <row r="52" spans="1:9" hidden="1" x14ac:dyDescent="0.25">
      <c r="A52" s="101" t="s">
        <v>138</v>
      </c>
      <c r="B52" s="97">
        <v>3027</v>
      </c>
      <c r="C52" s="97">
        <v>3116</v>
      </c>
      <c r="D52" s="97">
        <v>8141</v>
      </c>
      <c r="E52" s="97">
        <v>17882</v>
      </c>
      <c r="F52" s="97">
        <v>19842</v>
      </c>
      <c r="G52" s="97">
        <v>34795</v>
      </c>
      <c r="H52" s="98">
        <v>86803</v>
      </c>
      <c r="I52" s="98">
        <f t="shared" si="0"/>
        <v>6143</v>
      </c>
    </row>
    <row r="53" spans="1:9" hidden="1" x14ac:dyDescent="0.25">
      <c r="A53" s="101" t="s">
        <v>139</v>
      </c>
      <c r="B53" s="97">
        <v>6831</v>
      </c>
      <c r="C53" s="97">
        <v>5326</v>
      </c>
      <c r="D53" s="97">
        <v>12550</v>
      </c>
      <c r="E53" s="97">
        <v>22898</v>
      </c>
      <c r="F53" s="97">
        <v>22175</v>
      </c>
      <c r="G53" s="97">
        <v>35420</v>
      </c>
      <c r="H53" s="98">
        <v>105200</v>
      </c>
      <c r="I53" s="98">
        <f t="shared" si="0"/>
        <v>12157</v>
      </c>
    </row>
    <row r="54" spans="1:9" hidden="1" x14ac:dyDescent="0.25">
      <c r="A54" s="101" t="s">
        <v>140</v>
      </c>
      <c r="B54" s="97">
        <v>4927</v>
      </c>
      <c r="C54" s="97">
        <v>4834</v>
      </c>
      <c r="D54" s="97">
        <v>11224</v>
      </c>
      <c r="E54" s="97">
        <v>19994</v>
      </c>
      <c r="F54" s="97">
        <v>19800</v>
      </c>
      <c r="G54" s="97">
        <v>32238</v>
      </c>
      <c r="H54" s="98">
        <v>93017</v>
      </c>
      <c r="I54" s="98">
        <f t="shared" si="0"/>
        <v>9761</v>
      </c>
    </row>
    <row r="55" spans="1:9" hidden="1" x14ac:dyDescent="0.25">
      <c r="A55" s="101" t="s">
        <v>141</v>
      </c>
      <c r="B55" s="97">
        <v>2407</v>
      </c>
      <c r="C55" s="97">
        <v>1861</v>
      </c>
      <c r="D55" s="97">
        <v>4971</v>
      </c>
      <c r="E55" s="97">
        <v>10440</v>
      </c>
      <c r="F55" s="97">
        <v>11375</v>
      </c>
      <c r="G55" s="97">
        <v>17267</v>
      </c>
      <c r="H55" s="98">
        <v>48321</v>
      </c>
      <c r="I55" s="98">
        <f t="shared" si="0"/>
        <v>4268</v>
      </c>
    </row>
    <row r="56" spans="1:9" hidden="1" x14ac:dyDescent="0.25">
      <c r="A56" s="101" t="s">
        <v>142</v>
      </c>
      <c r="B56" s="97">
        <v>958</v>
      </c>
      <c r="C56" s="97">
        <v>895</v>
      </c>
      <c r="D56" s="97">
        <v>2011</v>
      </c>
      <c r="E56" s="97">
        <v>3999</v>
      </c>
      <c r="F56" s="97">
        <v>4161</v>
      </c>
      <c r="G56" s="97">
        <v>6071</v>
      </c>
      <c r="H56" s="98">
        <v>18095</v>
      </c>
      <c r="I56" s="98">
        <f t="shared" si="0"/>
        <v>1853</v>
      </c>
    </row>
    <row r="57" spans="1:9" hidden="1" x14ac:dyDescent="0.25">
      <c r="A57" s="101" t="s">
        <v>143</v>
      </c>
      <c r="B57" s="97">
        <v>3641</v>
      </c>
      <c r="C57" s="97">
        <v>4287</v>
      </c>
      <c r="D57" s="97">
        <v>11821</v>
      </c>
      <c r="E57" s="97">
        <v>28549</v>
      </c>
      <c r="F57" s="97">
        <v>35809</v>
      </c>
      <c r="G57" s="97">
        <v>65336</v>
      </c>
      <c r="H57" s="98">
        <v>149443</v>
      </c>
      <c r="I57" s="98">
        <f t="shared" si="0"/>
        <v>7928</v>
      </c>
    </row>
    <row r="58" spans="1:9" hidden="1" x14ac:dyDescent="0.25">
      <c r="A58" s="101" t="s">
        <v>144</v>
      </c>
      <c r="B58" s="97">
        <v>1664</v>
      </c>
      <c r="C58" s="97">
        <v>1425</v>
      </c>
      <c r="D58" s="97">
        <v>3700</v>
      </c>
      <c r="E58" s="97">
        <v>8165</v>
      </c>
      <c r="F58" s="97">
        <v>9357</v>
      </c>
      <c r="G58" s="97">
        <v>17778</v>
      </c>
      <c r="H58" s="98">
        <v>42089</v>
      </c>
      <c r="I58" s="98">
        <f t="shared" si="0"/>
        <v>3089</v>
      </c>
    </row>
    <row r="59" spans="1:9" hidden="1" x14ac:dyDescent="0.25">
      <c r="A59" s="101" t="s">
        <v>145</v>
      </c>
      <c r="B59" s="97"/>
      <c r="C59" s="97"/>
      <c r="D59" s="97">
        <v>1</v>
      </c>
      <c r="E59" s="97"/>
      <c r="F59" s="97"/>
      <c r="G59" s="97"/>
      <c r="H59" s="98">
        <v>1</v>
      </c>
      <c r="I59" s="98">
        <f t="shared" si="0"/>
        <v>0</v>
      </c>
    </row>
    <row r="60" spans="1:9" hidden="1" x14ac:dyDescent="0.25">
      <c r="A60" s="101" t="s">
        <v>146</v>
      </c>
      <c r="B60" s="97">
        <v>1</v>
      </c>
      <c r="C60" s="97">
        <v>3</v>
      </c>
      <c r="D60" s="97">
        <v>7</v>
      </c>
      <c r="E60" s="97">
        <v>5</v>
      </c>
      <c r="F60" s="97">
        <v>7</v>
      </c>
      <c r="G60" s="97">
        <v>19</v>
      </c>
      <c r="H60" s="98">
        <v>42</v>
      </c>
      <c r="I60" s="98">
        <f t="shared" si="0"/>
        <v>4</v>
      </c>
    </row>
    <row r="61" spans="1:9" hidden="1" x14ac:dyDescent="0.25">
      <c r="A61" s="101" t="s">
        <v>147</v>
      </c>
      <c r="B61" s="97">
        <v>1559</v>
      </c>
      <c r="C61" s="97">
        <v>1250</v>
      </c>
      <c r="D61" s="97">
        <v>2643</v>
      </c>
      <c r="E61" s="97">
        <v>5359</v>
      </c>
      <c r="F61" s="97">
        <v>5563</v>
      </c>
      <c r="G61" s="97">
        <v>9881</v>
      </c>
      <c r="H61" s="98">
        <v>26255</v>
      </c>
      <c r="I61" s="98">
        <f t="shared" si="0"/>
        <v>2809</v>
      </c>
    </row>
    <row r="62" spans="1:9" hidden="1" x14ac:dyDescent="0.25">
      <c r="A62" s="101" t="s">
        <v>148</v>
      </c>
      <c r="B62" s="97">
        <v>30</v>
      </c>
      <c r="C62" s="97">
        <v>52</v>
      </c>
      <c r="D62" s="97">
        <v>127</v>
      </c>
      <c r="E62" s="97">
        <v>309</v>
      </c>
      <c r="F62" s="97">
        <v>459</v>
      </c>
      <c r="G62" s="97">
        <v>1010</v>
      </c>
      <c r="H62" s="98">
        <v>1987</v>
      </c>
      <c r="I62" s="98">
        <f t="shared" si="0"/>
        <v>82</v>
      </c>
    </row>
    <row r="63" spans="1:9" hidden="1" x14ac:dyDescent="0.25">
      <c r="A63" s="101" t="s">
        <v>149</v>
      </c>
      <c r="B63" s="97"/>
      <c r="C63" s="97">
        <v>2</v>
      </c>
      <c r="D63" s="97">
        <v>4</v>
      </c>
      <c r="E63" s="97">
        <v>15</v>
      </c>
      <c r="F63" s="97">
        <v>17</v>
      </c>
      <c r="G63" s="97">
        <v>32</v>
      </c>
      <c r="H63" s="98">
        <v>70</v>
      </c>
      <c r="I63" s="98">
        <f t="shared" si="0"/>
        <v>2</v>
      </c>
    </row>
    <row r="64" spans="1:9" hidden="1" x14ac:dyDescent="0.25">
      <c r="A64" s="101" t="s">
        <v>150</v>
      </c>
      <c r="B64" s="97">
        <v>4333</v>
      </c>
      <c r="C64" s="97">
        <v>4200</v>
      </c>
      <c r="D64" s="97">
        <v>10021</v>
      </c>
      <c r="E64" s="97">
        <v>20143</v>
      </c>
      <c r="F64" s="97">
        <v>21653</v>
      </c>
      <c r="G64" s="97">
        <v>34594</v>
      </c>
      <c r="H64" s="98">
        <v>94944</v>
      </c>
      <c r="I64" s="98">
        <f t="shared" si="0"/>
        <v>8533</v>
      </c>
    </row>
    <row r="65" spans="1:9" hidden="1" x14ac:dyDescent="0.25">
      <c r="A65" s="101" t="s">
        <v>151</v>
      </c>
      <c r="B65" s="97">
        <v>9466</v>
      </c>
      <c r="C65" s="97">
        <v>8125</v>
      </c>
      <c r="D65" s="97">
        <v>19727</v>
      </c>
      <c r="E65" s="97">
        <v>38314</v>
      </c>
      <c r="F65" s="97">
        <v>36591</v>
      </c>
      <c r="G65" s="97">
        <v>55426</v>
      </c>
      <c r="H65" s="98">
        <v>167649</v>
      </c>
      <c r="I65" s="98">
        <f t="shared" si="0"/>
        <v>17591</v>
      </c>
    </row>
    <row r="66" spans="1:9" hidden="1" x14ac:dyDescent="0.25">
      <c r="A66" s="101" t="s">
        <v>152</v>
      </c>
      <c r="B66" s="97"/>
      <c r="C66" s="97"/>
      <c r="D66" s="97">
        <v>1</v>
      </c>
      <c r="E66" s="97">
        <v>2</v>
      </c>
      <c r="F66" s="97"/>
      <c r="G66" s="97">
        <v>4</v>
      </c>
      <c r="H66" s="98">
        <v>7</v>
      </c>
      <c r="I66" s="98">
        <f t="shared" si="0"/>
        <v>0</v>
      </c>
    </row>
    <row r="67" spans="1:9" hidden="1" x14ac:dyDescent="0.25">
      <c r="A67" s="101" t="s">
        <v>153</v>
      </c>
      <c r="B67" s="97">
        <v>3353</v>
      </c>
      <c r="C67" s="97">
        <v>2877</v>
      </c>
      <c r="D67" s="97">
        <v>7615</v>
      </c>
      <c r="E67" s="97">
        <v>17408</v>
      </c>
      <c r="F67" s="97">
        <v>18944</v>
      </c>
      <c r="G67" s="97">
        <v>28756</v>
      </c>
      <c r="H67" s="98">
        <v>78953</v>
      </c>
      <c r="I67" s="98">
        <f t="shared" si="0"/>
        <v>6230</v>
      </c>
    </row>
    <row r="68" spans="1:9" hidden="1" x14ac:dyDescent="0.25">
      <c r="A68" s="101" t="s">
        <v>154</v>
      </c>
      <c r="B68" s="97"/>
      <c r="C68" s="97">
        <v>1</v>
      </c>
      <c r="D68" s="97">
        <v>2</v>
      </c>
      <c r="E68" s="97">
        <v>6</v>
      </c>
      <c r="F68" s="97">
        <v>5</v>
      </c>
      <c r="G68" s="97">
        <v>14</v>
      </c>
      <c r="H68" s="98">
        <v>28</v>
      </c>
      <c r="I68" s="98">
        <f t="shared" si="0"/>
        <v>1</v>
      </c>
    </row>
    <row r="69" spans="1:9" hidden="1" x14ac:dyDescent="0.25">
      <c r="A69" s="101" t="s">
        <v>155</v>
      </c>
      <c r="B69" s="97">
        <v>4</v>
      </c>
      <c r="C69" s="97">
        <v>5</v>
      </c>
      <c r="D69" s="97">
        <v>6</v>
      </c>
      <c r="E69" s="97">
        <v>17</v>
      </c>
      <c r="F69" s="97">
        <v>22</v>
      </c>
      <c r="G69" s="97">
        <v>35</v>
      </c>
      <c r="H69" s="98">
        <v>89</v>
      </c>
      <c r="I69" s="98">
        <f t="shared" si="0"/>
        <v>9</v>
      </c>
    </row>
    <row r="70" spans="1:9" hidden="1" x14ac:dyDescent="0.25">
      <c r="A70" s="101" t="s">
        <v>156</v>
      </c>
      <c r="B70" s="97"/>
      <c r="C70" s="97">
        <v>1</v>
      </c>
      <c r="D70" s="97">
        <v>2</v>
      </c>
      <c r="E70" s="97">
        <v>3</v>
      </c>
      <c r="F70" s="97">
        <v>3</v>
      </c>
      <c r="G70" s="97">
        <v>12</v>
      </c>
      <c r="H70" s="98">
        <v>21</v>
      </c>
      <c r="I70" s="98">
        <f t="shared" si="0"/>
        <v>1</v>
      </c>
    </row>
    <row r="71" spans="1:9" hidden="1" x14ac:dyDescent="0.25">
      <c r="A71" s="101" t="s">
        <v>157</v>
      </c>
      <c r="B71" s="97">
        <v>4298</v>
      </c>
      <c r="C71" s="97">
        <v>4049</v>
      </c>
      <c r="D71" s="97">
        <v>9688</v>
      </c>
      <c r="E71" s="97">
        <v>19081</v>
      </c>
      <c r="F71" s="97">
        <v>19669</v>
      </c>
      <c r="G71" s="97">
        <v>31615</v>
      </c>
      <c r="H71" s="98">
        <v>88400</v>
      </c>
      <c r="I71" s="98">
        <f t="shared" si="0"/>
        <v>8347</v>
      </c>
    </row>
    <row r="72" spans="1:9" hidden="1" x14ac:dyDescent="0.25">
      <c r="A72" s="101" t="s">
        <v>158</v>
      </c>
      <c r="B72" s="97">
        <v>1</v>
      </c>
      <c r="C72" s="97">
        <v>1</v>
      </c>
      <c r="D72" s="97"/>
      <c r="E72" s="97">
        <v>3</v>
      </c>
      <c r="F72" s="97"/>
      <c r="G72" s="97">
        <v>3</v>
      </c>
      <c r="H72" s="98">
        <v>8</v>
      </c>
      <c r="I72" s="98">
        <f t="shared" si="0"/>
        <v>2</v>
      </c>
    </row>
    <row r="73" spans="1:9" hidden="1" x14ac:dyDescent="0.25">
      <c r="A73" s="101" t="s">
        <v>159</v>
      </c>
      <c r="B73" s="97">
        <v>8336</v>
      </c>
      <c r="C73" s="97">
        <v>7079</v>
      </c>
      <c r="D73" s="97">
        <v>14911</v>
      </c>
      <c r="E73" s="97">
        <v>26803</v>
      </c>
      <c r="F73" s="97">
        <v>27384</v>
      </c>
      <c r="G73" s="97">
        <v>47262</v>
      </c>
      <c r="H73" s="98">
        <v>131775</v>
      </c>
      <c r="I73" s="98">
        <f t="shared" si="0"/>
        <v>15415</v>
      </c>
    </row>
    <row r="74" spans="1:9" hidden="1" x14ac:dyDescent="0.25">
      <c r="A74" s="101" t="s">
        <v>160</v>
      </c>
      <c r="B74" s="97"/>
      <c r="C74" s="97">
        <v>1</v>
      </c>
      <c r="D74" s="97"/>
      <c r="E74" s="97"/>
      <c r="F74" s="97"/>
      <c r="G74" s="97">
        <v>1</v>
      </c>
      <c r="H74" s="98">
        <v>2</v>
      </c>
      <c r="I74" s="98">
        <f t="shared" si="0"/>
        <v>1</v>
      </c>
    </row>
    <row r="75" spans="1:9" hidden="1" x14ac:dyDescent="0.25">
      <c r="A75" s="101" t="s">
        <v>161</v>
      </c>
      <c r="B75" s="97">
        <v>3224</v>
      </c>
      <c r="C75" s="97">
        <v>3190</v>
      </c>
      <c r="D75" s="97">
        <v>8525</v>
      </c>
      <c r="E75" s="97">
        <v>20436</v>
      </c>
      <c r="F75" s="97">
        <v>24194</v>
      </c>
      <c r="G75" s="97">
        <v>41705</v>
      </c>
      <c r="H75" s="98">
        <v>101274</v>
      </c>
      <c r="I75" s="98">
        <f t="shared" si="0"/>
        <v>6414</v>
      </c>
    </row>
    <row r="76" spans="1:9" hidden="1" x14ac:dyDescent="0.25">
      <c r="A76" s="101" t="s">
        <v>162</v>
      </c>
      <c r="B76" s="97">
        <v>4398</v>
      </c>
      <c r="C76" s="97">
        <v>4256</v>
      </c>
      <c r="D76" s="97">
        <v>11639</v>
      </c>
      <c r="E76" s="97">
        <v>26579</v>
      </c>
      <c r="F76" s="97">
        <v>29867</v>
      </c>
      <c r="G76" s="97">
        <v>45229</v>
      </c>
      <c r="H76" s="98">
        <v>121968</v>
      </c>
      <c r="I76" s="98">
        <f t="shared" si="0"/>
        <v>8654</v>
      </c>
    </row>
    <row r="77" spans="1:9" hidden="1" x14ac:dyDescent="0.25">
      <c r="A77" s="101" t="s">
        <v>163</v>
      </c>
      <c r="B77" s="97">
        <v>989</v>
      </c>
      <c r="C77" s="97">
        <v>1038</v>
      </c>
      <c r="D77" s="97">
        <v>2326</v>
      </c>
      <c r="E77" s="97">
        <v>4559</v>
      </c>
      <c r="F77" s="97">
        <v>4231</v>
      </c>
      <c r="G77" s="97">
        <v>5570</v>
      </c>
      <c r="H77" s="98">
        <v>18713</v>
      </c>
      <c r="I77" s="98">
        <f t="shared" si="0"/>
        <v>2027</v>
      </c>
    </row>
    <row r="78" spans="1:9" hidden="1" x14ac:dyDescent="0.25">
      <c r="A78" s="101" t="s">
        <v>164</v>
      </c>
      <c r="B78" s="97">
        <v>3187</v>
      </c>
      <c r="C78" s="97">
        <v>3183</v>
      </c>
      <c r="D78" s="97">
        <v>8567</v>
      </c>
      <c r="E78" s="97">
        <v>19621</v>
      </c>
      <c r="F78" s="97">
        <v>23215</v>
      </c>
      <c r="G78" s="97">
        <v>35894</v>
      </c>
      <c r="H78" s="98">
        <v>93667</v>
      </c>
      <c r="I78" s="98">
        <f t="shared" si="0"/>
        <v>6370</v>
      </c>
    </row>
    <row r="79" spans="1:9" hidden="1" x14ac:dyDescent="0.25">
      <c r="A79" s="101" t="s">
        <v>165</v>
      </c>
      <c r="B79" s="97">
        <v>3906</v>
      </c>
      <c r="C79" s="97">
        <v>3394</v>
      </c>
      <c r="D79" s="97">
        <v>7646</v>
      </c>
      <c r="E79" s="97">
        <v>13392</v>
      </c>
      <c r="F79" s="97">
        <v>12442</v>
      </c>
      <c r="G79" s="97">
        <v>17535</v>
      </c>
      <c r="H79" s="98">
        <v>58315</v>
      </c>
      <c r="I79" s="98">
        <f t="shared" ref="I79:I101" si="1">SUM(B79:C79)</f>
        <v>7300</v>
      </c>
    </row>
    <row r="80" spans="1:9" hidden="1" x14ac:dyDescent="0.25">
      <c r="A80" s="101" t="s">
        <v>166</v>
      </c>
      <c r="B80" s="97">
        <v>854</v>
      </c>
      <c r="C80" s="97">
        <v>674</v>
      </c>
      <c r="D80" s="97">
        <v>1784</v>
      </c>
      <c r="E80" s="97">
        <v>4185</v>
      </c>
      <c r="F80" s="97">
        <v>4867</v>
      </c>
      <c r="G80" s="97">
        <v>6432</v>
      </c>
      <c r="H80" s="98">
        <v>18796</v>
      </c>
      <c r="I80" s="98">
        <f t="shared" si="1"/>
        <v>1528</v>
      </c>
    </row>
    <row r="81" spans="1:9" hidden="1" x14ac:dyDescent="0.25">
      <c r="A81" s="101" t="s">
        <v>167</v>
      </c>
      <c r="B81" s="97"/>
      <c r="C81" s="97"/>
      <c r="D81" s="97"/>
      <c r="E81" s="97"/>
      <c r="F81" s="97"/>
      <c r="G81" s="97">
        <v>2</v>
      </c>
      <c r="H81" s="98">
        <v>2</v>
      </c>
      <c r="I81" s="98">
        <f t="shared" si="1"/>
        <v>0</v>
      </c>
    </row>
    <row r="82" spans="1:9" hidden="1" x14ac:dyDescent="0.25">
      <c r="A82" s="101" t="s">
        <v>168</v>
      </c>
      <c r="B82" s="97"/>
      <c r="C82" s="97"/>
      <c r="D82" s="97"/>
      <c r="E82" s="97">
        <v>1</v>
      </c>
      <c r="F82" s="97"/>
      <c r="G82" s="97"/>
      <c r="H82" s="98">
        <v>1</v>
      </c>
      <c r="I82" s="98">
        <f t="shared" si="1"/>
        <v>0</v>
      </c>
    </row>
    <row r="83" spans="1:9" hidden="1" x14ac:dyDescent="0.25">
      <c r="A83" s="101" t="s">
        <v>169</v>
      </c>
      <c r="B83" s="97">
        <v>2</v>
      </c>
      <c r="C83" s="97">
        <v>1</v>
      </c>
      <c r="D83" s="97">
        <v>1</v>
      </c>
      <c r="E83" s="97">
        <v>15</v>
      </c>
      <c r="F83" s="97">
        <v>11</v>
      </c>
      <c r="G83" s="97">
        <v>17</v>
      </c>
      <c r="H83" s="98">
        <v>47</v>
      </c>
      <c r="I83" s="98">
        <f t="shared" si="1"/>
        <v>3</v>
      </c>
    </row>
    <row r="84" spans="1:9" hidden="1" x14ac:dyDescent="0.25">
      <c r="A84" s="101" t="s">
        <v>170</v>
      </c>
      <c r="B84" s="97">
        <v>3582</v>
      </c>
      <c r="C84" s="97">
        <v>3878</v>
      </c>
      <c r="D84" s="97">
        <v>8732</v>
      </c>
      <c r="E84" s="97">
        <v>16995</v>
      </c>
      <c r="F84" s="97">
        <v>18630</v>
      </c>
      <c r="G84" s="97">
        <v>31882</v>
      </c>
      <c r="H84" s="98">
        <v>83699</v>
      </c>
      <c r="I84" s="98">
        <f t="shared" si="1"/>
        <v>7460</v>
      </c>
    </row>
    <row r="85" spans="1:9" hidden="1" x14ac:dyDescent="0.25">
      <c r="A85" s="101" t="s">
        <v>171</v>
      </c>
      <c r="B85" s="97">
        <v>3</v>
      </c>
      <c r="C85" s="97">
        <v>3</v>
      </c>
      <c r="D85" s="97">
        <v>2</v>
      </c>
      <c r="E85" s="97">
        <v>3</v>
      </c>
      <c r="F85" s="97">
        <v>7</v>
      </c>
      <c r="G85" s="97">
        <v>18</v>
      </c>
      <c r="H85" s="98">
        <v>36</v>
      </c>
      <c r="I85" s="98">
        <f t="shared" si="1"/>
        <v>6</v>
      </c>
    </row>
    <row r="86" spans="1:9" hidden="1" x14ac:dyDescent="0.25">
      <c r="A86" s="101" t="s">
        <v>172</v>
      </c>
      <c r="B86" s="97">
        <v>2205</v>
      </c>
      <c r="C86" s="97">
        <v>1889</v>
      </c>
      <c r="D86" s="97">
        <v>5316</v>
      </c>
      <c r="E86" s="97">
        <v>12355</v>
      </c>
      <c r="F86" s="97">
        <v>15060</v>
      </c>
      <c r="G86" s="97">
        <v>24490</v>
      </c>
      <c r="H86" s="98">
        <v>61315</v>
      </c>
      <c r="I86" s="98">
        <f t="shared" si="1"/>
        <v>4094</v>
      </c>
    </row>
    <row r="87" spans="1:9" x14ac:dyDescent="0.25">
      <c r="A87" s="101" t="s">
        <v>173</v>
      </c>
      <c r="B87" s="97">
        <v>15152</v>
      </c>
      <c r="C87" s="97">
        <v>12427</v>
      </c>
      <c r="D87" s="97">
        <v>29557</v>
      </c>
      <c r="E87" s="97">
        <v>56766</v>
      </c>
      <c r="F87" s="97">
        <v>59624</v>
      </c>
      <c r="G87" s="97">
        <v>94092</v>
      </c>
      <c r="H87" s="98">
        <v>267618</v>
      </c>
      <c r="I87" s="98">
        <f t="shared" si="1"/>
        <v>27579</v>
      </c>
    </row>
    <row r="88" spans="1:9" hidden="1" x14ac:dyDescent="0.25">
      <c r="A88" s="101" t="s">
        <v>174</v>
      </c>
      <c r="B88" s="97"/>
      <c r="C88" s="97"/>
      <c r="D88" s="97"/>
      <c r="E88" s="97"/>
      <c r="F88" s="97">
        <v>2</v>
      </c>
      <c r="G88" s="97"/>
      <c r="H88" s="98">
        <v>2</v>
      </c>
      <c r="I88" s="98">
        <f t="shared" si="1"/>
        <v>0</v>
      </c>
    </row>
    <row r="89" spans="1:9" hidden="1" x14ac:dyDescent="0.25">
      <c r="A89" s="101" t="s">
        <v>175</v>
      </c>
      <c r="B89" s="97">
        <v>8078</v>
      </c>
      <c r="C89" s="97">
        <v>6487</v>
      </c>
      <c r="D89" s="97">
        <v>14474</v>
      </c>
      <c r="E89" s="97">
        <v>25749</v>
      </c>
      <c r="F89" s="97">
        <v>25159</v>
      </c>
      <c r="G89" s="97">
        <v>36714</v>
      </c>
      <c r="H89" s="98">
        <v>116661</v>
      </c>
      <c r="I89" s="98">
        <f t="shared" si="1"/>
        <v>14565</v>
      </c>
    </row>
    <row r="90" spans="1:9" hidden="1" x14ac:dyDescent="0.25">
      <c r="A90" s="101" t="s">
        <v>176</v>
      </c>
      <c r="B90" s="97">
        <v>865</v>
      </c>
      <c r="C90" s="97">
        <v>731</v>
      </c>
      <c r="D90" s="97">
        <v>1689</v>
      </c>
      <c r="E90" s="97">
        <v>3676</v>
      </c>
      <c r="F90" s="97">
        <v>4315</v>
      </c>
      <c r="G90" s="97">
        <v>8088</v>
      </c>
      <c r="H90" s="98">
        <v>19364</v>
      </c>
      <c r="I90" s="98">
        <f t="shared" si="1"/>
        <v>1596</v>
      </c>
    </row>
    <row r="91" spans="1:9" hidden="1" x14ac:dyDescent="0.25">
      <c r="A91" s="101" t="s">
        <v>177</v>
      </c>
      <c r="B91" s="97">
        <v>6177</v>
      </c>
      <c r="C91" s="97">
        <v>5536</v>
      </c>
      <c r="D91" s="97">
        <v>12379</v>
      </c>
      <c r="E91" s="97">
        <v>22841</v>
      </c>
      <c r="F91" s="97">
        <v>23488</v>
      </c>
      <c r="G91" s="97">
        <v>41191</v>
      </c>
      <c r="H91" s="98">
        <v>111612</v>
      </c>
      <c r="I91" s="98">
        <f t="shared" si="1"/>
        <v>11713</v>
      </c>
    </row>
    <row r="92" spans="1:9" hidden="1" x14ac:dyDescent="0.25">
      <c r="A92" s="101" t="s">
        <v>178</v>
      </c>
      <c r="B92" s="97">
        <v>574</v>
      </c>
      <c r="C92" s="97">
        <v>489</v>
      </c>
      <c r="D92" s="97">
        <v>1137</v>
      </c>
      <c r="E92" s="97">
        <v>1932</v>
      </c>
      <c r="F92" s="97">
        <v>1599</v>
      </c>
      <c r="G92" s="97">
        <v>2224</v>
      </c>
      <c r="H92" s="98">
        <v>7955</v>
      </c>
      <c r="I92" s="98">
        <f t="shared" si="1"/>
        <v>1063</v>
      </c>
    </row>
    <row r="93" spans="1:9" hidden="1" x14ac:dyDescent="0.25">
      <c r="A93" s="101" t="s">
        <v>179</v>
      </c>
      <c r="B93" s="97">
        <v>4506</v>
      </c>
      <c r="C93" s="97">
        <v>3727</v>
      </c>
      <c r="D93" s="97">
        <v>8380</v>
      </c>
      <c r="E93" s="97">
        <v>16165</v>
      </c>
      <c r="F93" s="97">
        <v>17483</v>
      </c>
      <c r="G93" s="97">
        <v>28352</v>
      </c>
      <c r="H93" s="98">
        <v>78613</v>
      </c>
      <c r="I93" s="98">
        <f t="shared" si="1"/>
        <v>8233</v>
      </c>
    </row>
    <row r="94" spans="1:9" hidden="1" x14ac:dyDescent="0.25">
      <c r="A94" s="101" t="s">
        <v>180</v>
      </c>
      <c r="B94" s="97">
        <v>2346</v>
      </c>
      <c r="C94" s="97">
        <v>2497</v>
      </c>
      <c r="D94" s="97">
        <v>6632</v>
      </c>
      <c r="E94" s="97">
        <v>14466</v>
      </c>
      <c r="F94" s="97">
        <v>17418</v>
      </c>
      <c r="G94" s="97">
        <v>30829</v>
      </c>
      <c r="H94" s="98">
        <v>74188</v>
      </c>
      <c r="I94" s="98">
        <f t="shared" si="1"/>
        <v>4843</v>
      </c>
    </row>
    <row r="95" spans="1:9" hidden="1" x14ac:dyDescent="0.25">
      <c r="A95" s="101" t="s">
        <v>181</v>
      </c>
      <c r="B95" s="97">
        <v>2</v>
      </c>
      <c r="C95" s="97"/>
      <c r="D95" s="97">
        <v>4</v>
      </c>
      <c r="E95" s="97">
        <v>4</v>
      </c>
      <c r="F95" s="97">
        <v>4</v>
      </c>
      <c r="G95" s="97">
        <v>25</v>
      </c>
      <c r="H95" s="98">
        <v>39</v>
      </c>
      <c r="I95" s="98">
        <f t="shared" si="1"/>
        <v>2</v>
      </c>
    </row>
    <row r="96" spans="1:9" hidden="1" x14ac:dyDescent="0.25">
      <c r="A96" s="101" t="s">
        <v>182</v>
      </c>
      <c r="B96" s="97">
        <v>1</v>
      </c>
      <c r="C96" s="97">
        <v>2</v>
      </c>
      <c r="D96" s="97">
        <v>3</v>
      </c>
      <c r="E96" s="97">
        <v>6</v>
      </c>
      <c r="F96" s="97">
        <v>4</v>
      </c>
      <c r="G96" s="97">
        <v>7</v>
      </c>
      <c r="H96" s="98">
        <v>23</v>
      </c>
      <c r="I96" s="98">
        <f t="shared" si="1"/>
        <v>3</v>
      </c>
    </row>
    <row r="97" spans="1:9" hidden="1" x14ac:dyDescent="0.25">
      <c r="A97" s="101" t="s">
        <v>183</v>
      </c>
      <c r="B97" s="97">
        <v>203</v>
      </c>
      <c r="C97" s="97">
        <v>330</v>
      </c>
      <c r="D97" s="97">
        <v>667</v>
      </c>
      <c r="E97" s="97">
        <v>1369</v>
      </c>
      <c r="F97" s="97">
        <v>1434</v>
      </c>
      <c r="G97" s="97">
        <v>2724</v>
      </c>
      <c r="H97" s="98">
        <v>6727</v>
      </c>
      <c r="I97" s="98">
        <f t="shared" si="1"/>
        <v>533</v>
      </c>
    </row>
    <row r="98" spans="1:9" hidden="1" x14ac:dyDescent="0.25">
      <c r="A98" s="101" t="s">
        <v>184</v>
      </c>
      <c r="B98" s="97">
        <v>2387</v>
      </c>
      <c r="C98" s="97">
        <v>2435</v>
      </c>
      <c r="D98" s="97">
        <v>6137</v>
      </c>
      <c r="E98" s="97">
        <v>12007</v>
      </c>
      <c r="F98" s="97">
        <v>11618</v>
      </c>
      <c r="G98" s="97">
        <v>15993</v>
      </c>
      <c r="H98" s="98">
        <v>50577</v>
      </c>
      <c r="I98" s="98">
        <f t="shared" si="1"/>
        <v>4822</v>
      </c>
    </row>
    <row r="99" spans="1:9" hidden="1" x14ac:dyDescent="0.25">
      <c r="A99" s="101" t="s">
        <v>185</v>
      </c>
      <c r="B99" s="97">
        <v>4105</v>
      </c>
      <c r="C99" s="97">
        <v>3654</v>
      </c>
      <c r="D99" s="97">
        <v>8554</v>
      </c>
      <c r="E99" s="97">
        <v>15914</v>
      </c>
      <c r="F99" s="97">
        <v>16100</v>
      </c>
      <c r="G99" s="97">
        <v>23852</v>
      </c>
      <c r="H99" s="98">
        <v>72179</v>
      </c>
      <c r="I99" s="98">
        <f t="shared" si="1"/>
        <v>7759</v>
      </c>
    </row>
    <row r="100" spans="1:9" hidden="1" x14ac:dyDescent="0.25">
      <c r="A100" s="101" t="s">
        <v>186</v>
      </c>
      <c r="B100" s="97">
        <v>1308</v>
      </c>
      <c r="C100" s="97">
        <v>1282</v>
      </c>
      <c r="D100" s="97">
        <v>2918</v>
      </c>
      <c r="E100" s="97">
        <v>5877</v>
      </c>
      <c r="F100" s="97">
        <v>6002</v>
      </c>
      <c r="G100" s="97">
        <v>8114</v>
      </c>
      <c r="H100" s="98">
        <v>25501</v>
      </c>
      <c r="I100" s="98">
        <f t="shared" si="1"/>
        <v>2590</v>
      </c>
    </row>
    <row r="101" spans="1:9" hidden="1" x14ac:dyDescent="0.25">
      <c r="A101" s="101" t="s">
        <v>187</v>
      </c>
      <c r="B101" s="97">
        <v>1179</v>
      </c>
      <c r="C101" s="97">
        <v>1340</v>
      </c>
      <c r="D101" s="97">
        <v>3342</v>
      </c>
      <c r="E101" s="97">
        <v>6650</v>
      </c>
      <c r="F101" s="97">
        <v>7236</v>
      </c>
      <c r="G101" s="97">
        <v>14236</v>
      </c>
      <c r="H101" s="98">
        <v>33983</v>
      </c>
      <c r="I101" s="98">
        <f t="shared" si="1"/>
        <v>2519</v>
      </c>
    </row>
    <row r="102" spans="1:9" hidden="1" x14ac:dyDescent="0.25">
      <c r="A102" s="102" t="s">
        <v>18</v>
      </c>
      <c r="B102" s="99">
        <f>SUM(B14:B101)</f>
        <v>192489</v>
      </c>
      <c r="C102" s="99">
        <f t="shared" ref="C102:I102" si="2">SUM(C14:C101)</f>
        <v>171865</v>
      </c>
      <c r="D102" s="99">
        <f t="shared" si="2"/>
        <v>411443</v>
      </c>
      <c r="E102" s="99">
        <f t="shared" si="2"/>
        <v>824883</v>
      </c>
      <c r="F102" s="99">
        <f t="shared" si="2"/>
        <v>882899</v>
      </c>
      <c r="G102" s="99">
        <f t="shared" si="2"/>
        <v>1444679</v>
      </c>
      <c r="H102" s="99">
        <f t="shared" si="2"/>
        <v>3928258</v>
      </c>
      <c r="I102" s="99">
        <f t="shared" si="2"/>
        <v>364354</v>
      </c>
    </row>
  </sheetData>
  <mergeCells count="3">
    <mergeCell ref="A9:H9"/>
    <mergeCell ref="A10:H10"/>
    <mergeCell ref="A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TMH_BaseCase</vt:lpstr>
      <vt:lpstr>Ref1_TMH_Volumes</vt:lpstr>
      <vt:lpstr>Ref2_USD_Exchange_Rate</vt:lpstr>
      <vt:lpstr>Ref3_Lab_Staff_Cost</vt:lpstr>
      <vt:lpstr>Ref4_CDWVolumes</vt:lpstr>
      <vt:lpstr>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Naseem Cassim</dc:creator>
  <cp:lastModifiedBy>Naseem Cassim</cp:lastModifiedBy>
  <cp:lastPrinted>2016-11-22T08:06:23Z</cp:lastPrinted>
  <dcterms:created xsi:type="dcterms:W3CDTF">2014-03-09T20:24:21Z</dcterms:created>
  <dcterms:modified xsi:type="dcterms:W3CDTF">2016-11-24T09:02:52Z</dcterms:modified>
</cp:coreProperties>
</file>